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830" yWindow="65305" windowWidth="13164" windowHeight="11765" tabRatio="698" activeTab="3"/>
  </bookViews>
  <sheets>
    <sheet name="січ(тимч.)" sheetId="1" r:id="rId1"/>
    <sheet name="лютий(тимч.)" sheetId="2" r:id="rId2"/>
    <sheet name="лютий" sheetId="3" r:id="rId3"/>
    <sheet name="березень" sheetId="4" r:id="rId4"/>
  </sheets>
  <definedNames>
    <definedName name="_xlnm.Print_Area" localSheetId="3">'березень'!$A$1:$AG$99</definedName>
    <definedName name="_xlnm.Print_Area" localSheetId="2">'лютий'!$A$1:$AG$99</definedName>
    <definedName name="_xlnm.Print_Area" localSheetId="1">'лютий(тимч.)'!$A$1:$AG$99</definedName>
    <definedName name="_xlnm.Print_Area" localSheetId="0">'січ(тимч.)'!$A$1:$AG$99</definedName>
  </definedNames>
  <calcPr fullCalcOnLoad="1"/>
</workbook>
</file>

<file path=xl/sharedStrings.xml><?xml version="1.0" encoding="utf-8"?>
<sst xmlns="http://schemas.openxmlformats.org/spreadsheetml/2006/main" count="416" uniqueCount="57">
  <si>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</si>
  <si>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</si>
  <si>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</si>
  <si>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</si>
  <si>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</si>
  <si>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</si>
  <si>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</si>
  <si>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</si>
  <si>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</si>
  <si>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</si>
  <si>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</si>
  <si>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</si>
  <si>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</si>
  <si>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</si>
  <si>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</si>
  <si>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</si>
  <si>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</si>
  <si>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</si>
  <si>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</si>
  <si>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</si>
  <si>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</si>
  <si>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</si>
  <si>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</si>
  <si>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</si>
  <si>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</si>
  <si>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</si>
  <si>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</si>
  <si>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</si>
  <si>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</si>
  <si>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Терцентри</t>
  </si>
  <si>
    <t>Доходи до розрахунку</t>
  </si>
  <si>
    <t>надійшло доходів/план видатків
 на січень</t>
  </si>
  <si>
    <t>Програма забезпечення правопорядку (061007)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</si>
  <si>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</si>
  <si>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</si>
  <si>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</si>
  <si>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освітня та медична субвенції</t>
  </si>
  <si>
    <t>Передано до бюджтеу розвитку (спеціального фонду)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</si>
  <si>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</si>
  <si>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</si>
  <si>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</si>
  <si>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Пільгове перевезення (170102, 170602)</t>
  </si>
  <si>
    <t>Стабілізаційна дотація</t>
  </si>
  <si>
    <t xml:space="preserve">Соц.захист </t>
  </si>
  <si>
    <t>Субвенція обласному бюджету (250380)</t>
  </si>
  <si>
    <t>Інші заходи у сфері електротранспорту, програма підтримки громадського транспорту</t>
  </si>
  <si>
    <t>Надання пільгового довгострокового кредиту гром-м на буд-во житла</t>
  </si>
  <si>
    <t>Інші</t>
  </si>
  <si>
    <t>Запобігання та ліквідація надзвичайних ситуацій</t>
  </si>
  <si>
    <t>Обслуговування боргу</t>
  </si>
  <si>
    <t>Дорожній фонд</t>
  </si>
  <si>
    <t>Реверсна дотація</t>
  </si>
  <si>
    <t>по міському бюджету м.Черкаси у СІЧНІ 2018 р.</t>
  </si>
  <si>
    <t>по міському бюджету м.Черкаси у ЛЮТОМУ 2018 р.</t>
  </si>
  <si>
    <t>надійшло доходів/план видатків
 на лютий</t>
  </si>
  <si>
    <t>надійшло доходів/план видатків
 на березень</t>
  </si>
  <si>
    <t>по міському бюджету м.Черкаси у БЕРЕЗНІ 2018 р.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</si>
</sst>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</numFmts>
  <fonts count="57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196" fontId="1" fillId="33" borderId="0" xfId="0" applyNumberFormat="1" applyFont="1" applyFill="1" applyAlignment="1">
      <alignment/>
    </xf>
    <xf numFmtId="196" fontId="0" fillId="33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196" fontId="2" fillId="0" borderId="10" xfId="0" applyNumberFormat="1" applyFont="1" applyBorder="1" applyAlignment="1">
      <alignment shrinkToFit="1"/>
    </xf>
    <xf numFmtId="196" fontId="10" fillId="0" borderId="10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33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0" fontId="22" fillId="0" borderId="0" xfId="0" applyFont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200" fontId="0" fillId="0" borderId="10" xfId="0" applyNumberFormat="1" applyBorder="1" applyAlignment="1">
      <alignment/>
    </xf>
    <xf numFmtId="200" fontId="10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 horizontal="center" shrinkToFit="1"/>
    </xf>
    <xf numFmtId="200" fontId="10" fillId="33" borderId="10" xfId="0" applyNumberFormat="1" applyFont="1" applyFill="1" applyBorder="1" applyAlignment="1">
      <alignment horizontal="center" shrinkToFit="1"/>
    </xf>
    <xf numFmtId="200" fontId="13" fillId="33" borderId="10" xfId="0" applyNumberFormat="1" applyFont="1" applyFill="1" applyBorder="1" applyAlignment="1">
      <alignment horizontal="center" shrinkToFit="1"/>
    </xf>
    <xf numFmtId="200" fontId="10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Fill="1" applyBorder="1" applyAlignment="1">
      <alignment shrinkToFit="1"/>
    </xf>
    <xf numFmtId="200" fontId="10" fillId="33" borderId="10" xfId="0" applyNumberFormat="1" applyFont="1" applyFill="1" applyBorder="1" applyAlignment="1">
      <alignment horizontal="right"/>
    </xf>
    <xf numFmtId="200" fontId="10" fillId="0" borderId="10" xfId="0" applyNumberFormat="1" applyFont="1" applyFill="1" applyBorder="1" applyAlignment="1">
      <alignment/>
    </xf>
    <xf numFmtId="200" fontId="10" fillId="33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33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 horizontal="right" vertical="center"/>
    </xf>
    <xf numFmtId="200" fontId="10" fillId="33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Border="1" applyAlignment="1">
      <alignment vertical="center"/>
    </xf>
    <xf numFmtId="200" fontId="2" fillId="0" borderId="10" xfId="0" applyNumberFormat="1" applyFont="1" applyBorder="1" applyAlignment="1">
      <alignment/>
    </xf>
    <xf numFmtId="200" fontId="2" fillId="0" borderId="10" xfId="0" applyNumberFormat="1" applyFont="1" applyFill="1" applyBorder="1" applyAlignment="1">
      <alignment/>
    </xf>
    <xf numFmtId="200" fontId="1" fillId="0" borderId="0" xfId="0" applyNumberFormat="1" applyFont="1" applyAlignment="1">
      <alignment/>
    </xf>
    <xf numFmtId="200" fontId="0" fillId="0" borderId="0" xfId="0" applyNumberFormat="1" applyAlignment="1">
      <alignment/>
    </xf>
    <xf numFmtId="0" fontId="0" fillId="34" borderId="0" xfId="0" applyFill="1" applyAlignment="1">
      <alignment/>
    </xf>
    <xf numFmtId="196" fontId="9" fillId="34" borderId="0" xfId="0" applyNumberFormat="1" applyFont="1" applyFill="1" applyAlignment="1">
      <alignment/>
    </xf>
    <xf numFmtId="0" fontId="3" fillId="34" borderId="0" xfId="0" applyFont="1" applyFill="1" applyAlignment="1">
      <alignment horizontal="right"/>
    </xf>
    <xf numFmtId="0" fontId="14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196" fontId="2" fillId="34" borderId="10" xfId="0" applyNumberFormat="1" applyFont="1" applyFill="1" applyBorder="1" applyAlignment="1">
      <alignment horizontal="center" vertical="center" wrapText="1"/>
    </xf>
    <xf numFmtId="196" fontId="10" fillId="34" borderId="10" xfId="0" applyNumberFormat="1" applyFont="1" applyFill="1" applyBorder="1" applyAlignment="1">
      <alignment horizontal="center" vertical="center" wrapText="1"/>
    </xf>
    <xf numFmtId="196" fontId="10" fillId="34" borderId="10" xfId="0" applyNumberFormat="1" applyFont="1" applyFill="1" applyBorder="1" applyAlignment="1">
      <alignment horizontal="center" vertical="center"/>
    </xf>
    <xf numFmtId="196" fontId="4" fillId="34" borderId="10" xfId="0" applyNumberFormat="1" applyFont="1" applyFill="1" applyBorder="1" applyAlignment="1">
      <alignment horizontal="center" vertical="center" wrapText="1"/>
    </xf>
    <xf numFmtId="196" fontId="2" fillId="34" borderId="10" xfId="0" applyNumberFormat="1" applyFont="1" applyFill="1" applyBorder="1" applyAlignment="1">
      <alignment horizontal="center"/>
    </xf>
    <xf numFmtId="196" fontId="10" fillId="34" borderId="0" xfId="0" applyNumberFormat="1" applyFont="1" applyFill="1" applyAlignment="1">
      <alignment horizontal="center"/>
    </xf>
    <xf numFmtId="0" fontId="2" fillId="34" borderId="10" xfId="0" applyFont="1" applyFill="1" applyBorder="1" applyAlignment="1">
      <alignment horizontal="center" wrapText="1"/>
    </xf>
    <xf numFmtId="200" fontId="0" fillId="34" borderId="10" xfId="0" applyNumberFormat="1" applyFill="1" applyBorder="1" applyAlignment="1">
      <alignment/>
    </xf>
    <xf numFmtId="200" fontId="10" fillId="34" borderId="10" xfId="0" applyNumberFormat="1" applyFont="1" applyFill="1" applyBorder="1" applyAlignment="1">
      <alignment horizontal="center"/>
    </xf>
    <xf numFmtId="200" fontId="10" fillId="34" borderId="10" xfId="0" applyNumberFormat="1" applyFont="1" applyFill="1" applyBorder="1" applyAlignment="1">
      <alignment horizontal="center" shrinkToFit="1"/>
    </xf>
    <xf numFmtId="200" fontId="13" fillId="34" borderId="10" xfId="0" applyNumberFormat="1" applyFont="1" applyFill="1" applyBorder="1" applyAlignment="1">
      <alignment horizontal="center" shrinkToFit="1"/>
    </xf>
    <xf numFmtId="200" fontId="10" fillId="34" borderId="10" xfId="0" applyNumberFormat="1" applyFont="1" applyFill="1" applyBorder="1" applyAlignment="1">
      <alignment shrinkToFit="1"/>
    </xf>
    <xf numFmtId="200" fontId="2" fillId="34" borderId="10" xfId="0" applyNumberFormat="1" applyFont="1" applyFill="1" applyBorder="1" applyAlignment="1">
      <alignment shrinkToFit="1"/>
    </xf>
    <xf numFmtId="200" fontId="2" fillId="34" borderId="10" xfId="0" applyNumberFormat="1" applyFont="1" applyFill="1" applyBorder="1" applyAlignment="1">
      <alignment horizontal="center"/>
    </xf>
    <xf numFmtId="200" fontId="10" fillId="34" borderId="10" xfId="0" applyNumberFormat="1" applyFont="1" applyFill="1" applyBorder="1" applyAlignment="1">
      <alignment/>
    </xf>
    <xf numFmtId="196" fontId="0" fillId="34" borderId="0" xfId="0" applyNumberFormat="1" applyFill="1" applyAlignment="1">
      <alignment/>
    </xf>
    <xf numFmtId="200" fontId="2" fillId="34" borderId="10" xfId="0" applyNumberFormat="1" applyFont="1" applyFill="1" applyBorder="1" applyAlignment="1">
      <alignment shrinkToFit="1"/>
    </xf>
    <xf numFmtId="196" fontId="2" fillId="34" borderId="10" xfId="0" applyNumberFormat="1" applyFont="1" applyFill="1" applyBorder="1" applyAlignment="1">
      <alignment shrinkToFit="1"/>
    </xf>
    <xf numFmtId="196" fontId="5" fillId="34" borderId="0" xfId="0" applyNumberFormat="1" applyFont="1" applyFill="1" applyAlignment="1">
      <alignment/>
    </xf>
    <xf numFmtId="0" fontId="5" fillId="34" borderId="0" xfId="0" applyFont="1" applyFill="1" applyAlignment="1">
      <alignment/>
    </xf>
    <xf numFmtId="0" fontId="2" fillId="34" borderId="10" xfId="0" applyFont="1" applyFill="1" applyBorder="1" applyAlignment="1">
      <alignment wrapText="1"/>
    </xf>
    <xf numFmtId="196" fontId="10" fillId="34" borderId="10" xfId="0" applyNumberFormat="1" applyFont="1" applyFill="1" applyBorder="1" applyAlignment="1">
      <alignment/>
    </xf>
    <xf numFmtId="200" fontId="10" fillId="34" borderId="10" xfId="0" applyNumberFormat="1" applyFont="1" applyFill="1" applyBorder="1" applyAlignment="1">
      <alignment horizontal="right"/>
    </xf>
    <xf numFmtId="0" fontId="4" fillId="34" borderId="10" xfId="0" applyFont="1" applyFill="1" applyBorder="1" applyAlignment="1">
      <alignment horizontal="left" wrapText="1" indent="1"/>
    </xf>
    <xf numFmtId="200" fontId="10" fillId="34" borderId="10" xfId="0" applyNumberFormat="1" applyFont="1" applyFill="1" applyBorder="1" applyAlignment="1">
      <alignment/>
    </xf>
    <xf numFmtId="200" fontId="0" fillId="34" borderId="0" xfId="0" applyNumberFormat="1" applyFill="1" applyAlignment="1">
      <alignment/>
    </xf>
    <xf numFmtId="0" fontId="20" fillId="34" borderId="10" xfId="0" applyFont="1" applyFill="1" applyBorder="1" applyAlignment="1">
      <alignment wrapText="1"/>
    </xf>
    <xf numFmtId="200" fontId="21" fillId="34" borderId="10" xfId="0" applyNumberFormat="1" applyFont="1" applyFill="1" applyBorder="1" applyAlignment="1">
      <alignment/>
    </xf>
    <xf numFmtId="196" fontId="21" fillId="34" borderId="10" xfId="0" applyNumberFormat="1" applyFont="1" applyFill="1" applyBorder="1" applyAlignment="1">
      <alignment/>
    </xf>
    <xf numFmtId="200" fontId="21" fillId="34" borderId="10" xfId="0" applyNumberFormat="1" applyFont="1" applyFill="1" applyBorder="1" applyAlignment="1">
      <alignment/>
    </xf>
    <xf numFmtId="196" fontId="22" fillId="34" borderId="0" xfId="0" applyNumberFormat="1" applyFont="1" applyFill="1" applyAlignment="1">
      <alignment/>
    </xf>
    <xf numFmtId="0" fontId="22" fillId="34" borderId="0" xfId="0" applyFont="1" applyFill="1" applyAlignment="1">
      <alignment/>
    </xf>
    <xf numFmtId="200" fontId="10" fillId="34" borderId="10" xfId="0" applyNumberFormat="1" applyFont="1" applyFill="1" applyBorder="1" applyAlignment="1">
      <alignment horizontal="right" vertical="center"/>
    </xf>
    <xf numFmtId="0" fontId="4" fillId="34" borderId="10" xfId="0" applyFont="1" applyFill="1" applyBorder="1" applyAlignment="1">
      <alignment wrapText="1"/>
    </xf>
    <xf numFmtId="0" fontId="4" fillId="34" borderId="11" xfId="0" applyFont="1" applyFill="1" applyBorder="1" applyAlignment="1">
      <alignment horizontal="left" wrapText="1" indent="1"/>
    </xf>
    <xf numFmtId="196" fontId="0" fillId="34" borderId="0" xfId="0" applyNumberFormat="1" applyFont="1" applyFill="1" applyAlignment="1">
      <alignment/>
    </xf>
    <xf numFmtId="196" fontId="0" fillId="0" borderId="0" xfId="0" applyNumberFormat="1" applyFont="1" applyFill="1" applyAlignment="1">
      <alignment/>
    </xf>
    <xf numFmtId="196" fontId="10" fillId="34" borderId="10" xfId="0" applyNumberFormat="1" applyFont="1" applyFill="1" applyBorder="1" applyAlignment="1">
      <alignment horizontal="right" vertical="center"/>
    </xf>
    <xf numFmtId="196" fontId="10" fillId="34" borderId="10" xfId="0" applyNumberFormat="1" applyFont="1" applyFill="1" applyBorder="1" applyAlignment="1">
      <alignment/>
    </xf>
    <xf numFmtId="196" fontId="2" fillId="34" borderId="10" xfId="0" applyNumberFormat="1" applyFont="1" applyFill="1" applyBorder="1" applyAlignment="1">
      <alignment/>
    </xf>
    <xf numFmtId="196" fontId="1" fillId="34" borderId="0" xfId="0" applyNumberFormat="1" applyFont="1" applyFill="1" applyAlignment="1">
      <alignment/>
    </xf>
    <xf numFmtId="196" fontId="2" fillId="34" borderId="0" xfId="0" applyNumberFormat="1" applyFont="1" applyFill="1" applyAlignment="1">
      <alignment/>
    </xf>
    <xf numFmtId="196" fontId="11" fillId="34" borderId="0" xfId="0" applyNumberFormat="1" applyFont="1" applyFill="1" applyAlignment="1">
      <alignment/>
    </xf>
    <xf numFmtId="196" fontId="16" fillId="34" borderId="0" xfId="0" applyNumberFormat="1" applyFont="1" applyFill="1" applyAlignment="1">
      <alignment/>
    </xf>
    <xf numFmtId="200" fontId="0" fillId="0" borderId="0" xfId="0" applyNumberFormat="1" applyAlignment="1">
      <alignment horizontal="right" vertical="center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5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F4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58" sqref="A58:IV5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40" t="s">
        <v>12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</row>
    <row r="2" spans="1:33" ht="22.5" customHeight="1">
      <c r="A2" s="141" t="s">
        <v>52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</row>
    <row r="3" spans="2:33" ht="17.25" customHeight="1">
      <c r="B3" s="15"/>
      <c r="C3" s="15"/>
      <c r="D3" s="15"/>
      <c r="AG3" s="13" t="s">
        <v>17</v>
      </c>
    </row>
    <row r="4" spans="1:33" ht="62.25">
      <c r="A4" s="34" t="s">
        <v>26</v>
      </c>
      <c r="B4" s="9" t="s">
        <v>31</v>
      </c>
      <c r="C4" s="9" t="s">
        <v>18</v>
      </c>
      <c r="D4" s="9">
        <v>3</v>
      </c>
      <c r="E4" s="8">
        <v>4</v>
      </c>
      <c r="F4" s="8">
        <v>5</v>
      </c>
      <c r="G4" s="8">
        <v>9</v>
      </c>
      <c r="H4" s="8">
        <v>10</v>
      </c>
      <c r="I4" s="8">
        <v>11</v>
      </c>
      <c r="J4" s="19">
        <v>12</v>
      </c>
      <c r="K4" s="8">
        <v>15</v>
      </c>
      <c r="L4" s="8">
        <v>16</v>
      </c>
      <c r="M4" s="8">
        <v>17</v>
      </c>
      <c r="N4" s="8">
        <v>18</v>
      </c>
      <c r="O4" s="8">
        <v>19</v>
      </c>
      <c r="P4" s="8">
        <v>22</v>
      </c>
      <c r="Q4" s="8">
        <v>23</v>
      </c>
      <c r="R4" s="8">
        <v>24</v>
      </c>
      <c r="S4" s="19">
        <v>25</v>
      </c>
      <c r="T4" s="19">
        <v>26</v>
      </c>
      <c r="U4" s="8">
        <v>29</v>
      </c>
      <c r="V4" s="8">
        <v>30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">
      <c r="A7" s="46" t="s">
        <v>36</v>
      </c>
      <c r="B7" s="33">
        <f>SUM(D7:Y7)</f>
        <v>41182.6</v>
      </c>
      <c r="C7" s="54">
        <v>16959.2</v>
      </c>
      <c r="D7" s="37"/>
      <c r="E7" s="38">
        <f>9589.8+11001.5</f>
        <v>20591.3</v>
      </c>
      <c r="F7" s="38"/>
      <c r="G7" s="38"/>
      <c r="H7" s="56"/>
      <c r="I7" s="38">
        <v>20591.3</v>
      </c>
      <c r="J7" s="39"/>
      <c r="K7" s="38"/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C7+E7+I7-AF16-AF25</f>
        <v>19662.3</v>
      </c>
      <c r="AF7" s="54"/>
      <c r="AG7" s="40"/>
    </row>
    <row r="8" spans="1:55" ht="18" customHeight="1">
      <c r="A8" s="47" t="s">
        <v>30</v>
      </c>
      <c r="B8" s="33">
        <f>SUM(E8:AB8)</f>
        <v>103723.8</v>
      </c>
      <c r="C8" s="33">
        <v>29468.8</v>
      </c>
      <c r="D8" s="59"/>
      <c r="E8" s="60">
        <v>1665</v>
      </c>
      <c r="F8" s="61">
        <v>3220.5</v>
      </c>
      <c r="G8" s="61">
        <v>11724.1</v>
      </c>
      <c r="H8" s="61">
        <v>5314.4</v>
      </c>
      <c r="I8" s="61">
        <v>3508.5</v>
      </c>
      <c r="J8" s="61">
        <v>2959.4</v>
      </c>
      <c r="K8" s="62">
        <v>2592.4</v>
      </c>
      <c r="L8" s="61">
        <v>5168</v>
      </c>
      <c r="M8" s="61">
        <v>3935.1</v>
      </c>
      <c r="N8" s="61">
        <v>4772.7</v>
      </c>
      <c r="O8" s="61">
        <v>5493.3</v>
      </c>
      <c r="P8" s="61">
        <v>8991.2</v>
      </c>
      <c r="Q8" s="61">
        <v>8637.3</v>
      </c>
      <c r="R8" s="61">
        <v>4871.7</v>
      </c>
      <c r="S8" s="63">
        <v>2473.2</v>
      </c>
      <c r="T8" s="63">
        <v>2983.3</v>
      </c>
      <c r="U8" s="61">
        <v>6044.4</v>
      </c>
      <c r="V8" s="61">
        <v>8695.2</v>
      </c>
      <c r="W8" s="61">
        <v>10674.1</v>
      </c>
      <c r="X8" s="62"/>
      <c r="Y8" s="62"/>
      <c r="Z8" s="62"/>
      <c r="AA8" s="62"/>
      <c r="AB8" s="61"/>
      <c r="AC8" s="64"/>
      <c r="AD8" s="64"/>
      <c r="AE8" s="65">
        <f>SUM(E8:AD8)+C8-AF9</f>
        <v>30164.00000000003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47" t="s">
        <v>14</v>
      </c>
      <c r="B9" s="23">
        <f aca="true" t="shared" si="0" ref="B9:AD9">B10+B15+B24+B33+B47+B52+B54+B61+B62+B71+B72+B88+B76+B81+B83+B82+B69+B89+B90+B91+B70+B40+B92</f>
        <v>123241.9</v>
      </c>
      <c r="C9" s="23">
        <f t="shared" si="0"/>
        <v>0</v>
      </c>
      <c r="D9" s="68">
        <f t="shared" si="0"/>
        <v>0</v>
      </c>
      <c r="E9" s="68">
        <f t="shared" si="0"/>
        <v>0</v>
      </c>
      <c r="F9" s="68">
        <f t="shared" si="0"/>
        <v>0</v>
      </c>
      <c r="G9" s="68">
        <f t="shared" si="0"/>
        <v>0</v>
      </c>
      <c r="H9" s="68">
        <f t="shared" si="0"/>
        <v>0</v>
      </c>
      <c r="I9" s="68">
        <f t="shared" si="0"/>
        <v>0</v>
      </c>
      <c r="J9" s="68">
        <f t="shared" si="0"/>
        <v>0</v>
      </c>
      <c r="K9" s="68">
        <f t="shared" si="0"/>
        <v>0</v>
      </c>
      <c r="L9" s="68">
        <f t="shared" si="0"/>
        <v>0</v>
      </c>
      <c r="M9" s="68">
        <f t="shared" si="0"/>
        <v>819</v>
      </c>
      <c r="N9" s="68">
        <f t="shared" si="0"/>
        <v>3076.1</v>
      </c>
      <c r="O9" s="68">
        <f t="shared" si="0"/>
        <v>31191.4</v>
      </c>
      <c r="P9" s="68">
        <f t="shared" si="0"/>
        <v>1102</v>
      </c>
      <c r="Q9" s="68">
        <f t="shared" si="0"/>
        <v>389.20000000000005</v>
      </c>
      <c r="R9" s="68">
        <f t="shared" si="0"/>
        <v>5882.700000000001</v>
      </c>
      <c r="S9" s="68">
        <f t="shared" si="0"/>
        <v>1369.1000000000001</v>
      </c>
      <c r="T9" s="68">
        <f t="shared" si="0"/>
        <v>11709.800000000001</v>
      </c>
      <c r="U9" s="68">
        <f t="shared" si="0"/>
        <v>31759.899999999998</v>
      </c>
      <c r="V9" s="68">
        <f t="shared" si="0"/>
        <v>13766.000000000002</v>
      </c>
      <c r="W9" s="68">
        <f t="shared" si="0"/>
        <v>1963.4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103028.59999999998</v>
      </c>
      <c r="AG9" s="69">
        <f>AG10+AG15+AG24+AG33+AG47+AG52+AG54+AG61+AG62+AG71+AG72+AG76+AG88+AG81+AG83+AG82+AG69+AG89+AG91+AG90+AG70+AG40+AG92</f>
        <v>20213.30000000001</v>
      </c>
      <c r="AH9" s="41"/>
      <c r="AI9" s="41"/>
    </row>
    <row r="10" spans="1:33" ht="15">
      <c r="A10" s="4" t="s">
        <v>4</v>
      </c>
      <c r="B10" s="22">
        <f>12954.5+29.8+25.2+328.3</f>
        <v>13337.8</v>
      </c>
      <c r="C10" s="22"/>
      <c r="D10" s="67"/>
      <c r="E10" s="67"/>
      <c r="F10" s="67"/>
      <c r="G10" s="67"/>
      <c r="H10" s="67"/>
      <c r="I10" s="67"/>
      <c r="J10" s="70"/>
      <c r="K10" s="67"/>
      <c r="L10" s="67"/>
      <c r="M10" s="67"/>
      <c r="N10" s="67">
        <v>3076.1</v>
      </c>
      <c r="O10" s="71">
        <v>1190.1</v>
      </c>
      <c r="P10" s="67">
        <v>85.4</v>
      </c>
      <c r="Q10" s="67">
        <v>19.6</v>
      </c>
      <c r="R10" s="67">
        <v>5.2</v>
      </c>
      <c r="S10" s="72">
        <v>812.5</v>
      </c>
      <c r="T10" s="72">
        <f>1196.5+4.7</f>
        <v>1201.2</v>
      </c>
      <c r="U10" s="72">
        <v>5442.2</v>
      </c>
      <c r="V10" s="72">
        <v>898.8</v>
      </c>
      <c r="W10" s="72">
        <v>0.6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41">SUM(D10:AD10)</f>
        <v>12731.699999999999</v>
      </c>
      <c r="AG10" s="71">
        <f>B10+C10-AF10</f>
        <v>606.1000000000004</v>
      </c>
    </row>
    <row r="11" spans="1:33" ht="15">
      <c r="A11" s="3" t="s">
        <v>5</v>
      </c>
      <c r="B11" s="22">
        <f>12517.8+27.3+25+362.7</f>
        <v>12932.8</v>
      </c>
      <c r="C11" s="22"/>
      <c r="D11" s="67"/>
      <c r="E11" s="67"/>
      <c r="F11" s="67"/>
      <c r="G11" s="67"/>
      <c r="H11" s="67"/>
      <c r="I11" s="67"/>
      <c r="J11" s="72"/>
      <c r="K11" s="67"/>
      <c r="L11" s="67"/>
      <c r="M11" s="67"/>
      <c r="N11" s="67">
        <v>3071.3</v>
      </c>
      <c r="O11" s="71">
        <v>1190.1</v>
      </c>
      <c r="P11" s="67">
        <v>77.9</v>
      </c>
      <c r="Q11" s="67"/>
      <c r="R11" s="67"/>
      <c r="S11" s="72">
        <v>810.1</v>
      </c>
      <c r="T11" s="72">
        <v>1179.1</v>
      </c>
      <c r="U11" s="72">
        <v>5434.9</v>
      </c>
      <c r="V11" s="72">
        <v>841.3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12604.699999999999</v>
      </c>
      <c r="AG11" s="71">
        <f>B11+C11-AF11</f>
        <v>328.10000000000036</v>
      </c>
    </row>
    <row r="12" spans="1:33" ht="15">
      <c r="A12" s="3" t="s">
        <v>2</v>
      </c>
      <c r="B12" s="29">
        <v>171</v>
      </c>
      <c r="C12" s="22"/>
      <c r="D12" s="67"/>
      <c r="E12" s="67"/>
      <c r="F12" s="67"/>
      <c r="G12" s="67"/>
      <c r="H12" s="67"/>
      <c r="I12" s="67"/>
      <c r="J12" s="72"/>
      <c r="K12" s="67"/>
      <c r="L12" s="67"/>
      <c r="M12" s="67"/>
      <c r="N12" s="67"/>
      <c r="O12" s="71"/>
      <c r="P12" s="67"/>
      <c r="Q12" s="67"/>
      <c r="R12" s="67"/>
      <c r="S12" s="72"/>
      <c r="T12" s="72"/>
      <c r="U12" s="72"/>
      <c r="V12" s="72">
        <v>57.2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57.2</v>
      </c>
      <c r="AG12" s="71">
        <f>B12+C12-AF12</f>
        <v>113.8</v>
      </c>
    </row>
    <row r="13" spans="1:33" ht="1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</row>
    <row r="14" spans="1:33" ht="15">
      <c r="A14" s="3" t="s">
        <v>23</v>
      </c>
      <c r="B14" s="22">
        <f aca="true" t="shared" si="2" ref="B14:Y14">B10-B11-B12-B13</f>
        <v>234</v>
      </c>
      <c r="C14" s="22">
        <f t="shared" si="2"/>
        <v>0</v>
      </c>
      <c r="D14" s="67">
        <f t="shared" si="2"/>
        <v>0</v>
      </c>
      <c r="E14" s="67">
        <f t="shared" si="2"/>
        <v>0</v>
      </c>
      <c r="F14" s="67">
        <f t="shared" si="2"/>
        <v>0</v>
      </c>
      <c r="G14" s="67">
        <f t="shared" si="2"/>
        <v>0</v>
      </c>
      <c r="H14" s="67">
        <f t="shared" si="2"/>
        <v>0</v>
      </c>
      <c r="I14" s="67">
        <f t="shared" si="2"/>
        <v>0</v>
      </c>
      <c r="J14" s="67">
        <f t="shared" si="2"/>
        <v>0</v>
      </c>
      <c r="K14" s="67">
        <f t="shared" si="2"/>
        <v>0</v>
      </c>
      <c r="L14" s="67">
        <f t="shared" si="2"/>
        <v>0</v>
      </c>
      <c r="M14" s="67">
        <f t="shared" si="2"/>
        <v>0</v>
      </c>
      <c r="N14" s="67">
        <f t="shared" si="2"/>
        <v>4.799999999999727</v>
      </c>
      <c r="O14" s="67">
        <f t="shared" si="2"/>
        <v>0</v>
      </c>
      <c r="P14" s="67">
        <f t="shared" si="2"/>
        <v>7.5</v>
      </c>
      <c r="Q14" s="67">
        <f t="shared" si="2"/>
        <v>19.6</v>
      </c>
      <c r="R14" s="67">
        <f t="shared" si="2"/>
        <v>5.2</v>
      </c>
      <c r="S14" s="67">
        <f t="shared" si="2"/>
        <v>2.3999999999999773</v>
      </c>
      <c r="T14" s="67">
        <f t="shared" si="2"/>
        <v>22.100000000000136</v>
      </c>
      <c r="U14" s="67">
        <f t="shared" si="2"/>
        <v>7.300000000000182</v>
      </c>
      <c r="V14" s="67">
        <f t="shared" si="2"/>
        <v>0.29999999999999716</v>
      </c>
      <c r="W14" s="67">
        <f t="shared" si="2"/>
        <v>0.6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69.80000000000003</v>
      </c>
      <c r="AG14" s="71">
        <f>AG10-AG11-AG12-AG13</f>
        <v>164.2</v>
      </c>
    </row>
    <row r="15" spans="1:33" ht="15" customHeight="1">
      <c r="A15" s="4" t="s">
        <v>6</v>
      </c>
      <c r="B15" s="22">
        <f>56190.2-192</f>
        <v>55998.2</v>
      </c>
      <c r="C15" s="22"/>
      <c r="D15" s="73"/>
      <c r="E15" s="73"/>
      <c r="F15" s="67"/>
      <c r="G15" s="67"/>
      <c r="H15" s="67"/>
      <c r="I15" s="67"/>
      <c r="J15" s="72"/>
      <c r="K15" s="67"/>
      <c r="L15" s="67"/>
      <c r="M15" s="67"/>
      <c r="N15" s="67"/>
      <c r="O15" s="71">
        <f>10502.1+8282.7</f>
        <v>18784.800000000003</v>
      </c>
      <c r="P15" s="67">
        <v>19.1</v>
      </c>
      <c r="Q15" s="71"/>
      <c r="R15" s="67">
        <v>1564</v>
      </c>
      <c r="S15" s="72"/>
      <c r="T15" s="72">
        <v>604.6</v>
      </c>
      <c r="U15" s="72">
        <v>17261.2</v>
      </c>
      <c r="V15" s="72">
        <f>400.5+10875.2</f>
        <v>11275.7</v>
      </c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49509.399999999994</v>
      </c>
      <c r="AG15" s="71">
        <f aca="true" t="shared" si="3" ref="AG15:AG31">B15+C15-AF15</f>
        <v>6488.800000000003</v>
      </c>
    </row>
    <row r="16" spans="1:34" s="53" customFormat="1" ht="15" customHeight="1">
      <c r="A16" s="51" t="s">
        <v>38</v>
      </c>
      <c r="B16" s="52">
        <v>19179.6</v>
      </c>
      <c r="C16" s="52"/>
      <c r="D16" s="74"/>
      <c r="E16" s="74"/>
      <c r="F16" s="75"/>
      <c r="G16" s="75"/>
      <c r="H16" s="75"/>
      <c r="I16" s="75"/>
      <c r="J16" s="76"/>
      <c r="K16" s="75"/>
      <c r="L16" s="75"/>
      <c r="M16" s="75"/>
      <c r="N16" s="75"/>
      <c r="O16" s="77">
        <v>8282.7</v>
      </c>
      <c r="P16" s="75"/>
      <c r="Q16" s="77"/>
      <c r="R16" s="75"/>
      <c r="S16" s="76"/>
      <c r="T16" s="76"/>
      <c r="U16" s="76"/>
      <c r="V16" s="76">
        <v>10875.2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19157.9</v>
      </c>
      <c r="AG16" s="78">
        <f t="shared" si="3"/>
        <v>21.69999999999709</v>
      </c>
      <c r="AH16" s="57"/>
    </row>
    <row r="17" spans="1:34" ht="15">
      <c r="A17" s="3" t="s">
        <v>5</v>
      </c>
      <c r="B17" s="22">
        <v>47930.9</v>
      </c>
      <c r="C17" s="22"/>
      <c r="D17" s="67"/>
      <c r="E17" s="67"/>
      <c r="F17" s="67"/>
      <c r="G17" s="67"/>
      <c r="H17" s="67"/>
      <c r="I17" s="67"/>
      <c r="J17" s="72"/>
      <c r="K17" s="67"/>
      <c r="L17" s="67"/>
      <c r="M17" s="67"/>
      <c r="N17" s="67"/>
      <c r="O17" s="71">
        <v>18784.8</v>
      </c>
      <c r="P17" s="67"/>
      <c r="Q17" s="71"/>
      <c r="R17" s="67"/>
      <c r="S17" s="72"/>
      <c r="T17" s="72"/>
      <c r="U17" s="72">
        <v>17058.5</v>
      </c>
      <c r="V17" s="72">
        <f>10875.2+340.5</f>
        <v>11215.7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47059</v>
      </c>
      <c r="AG17" s="71">
        <f t="shared" si="3"/>
        <v>871.9000000000015</v>
      </c>
      <c r="AH17" s="6"/>
    </row>
    <row r="18" spans="1:33" ht="15">
      <c r="A18" s="3" t="s">
        <v>3</v>
      </c>
      <c r="B18" s="22">
        <v>0</v>
      </c>
      <c r="C18" s="22"/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1">
        <f t="shared" si="3"/>
        <v>0</v>
      </c>
    </row>
    <row r="19" spans="1:33" ht="15">
      <c r="A19" s="3" t="s">
        <v>1</v>
      </c>
      <c r="B19" s="22">
        <v>3147.6</v>
      </c>
      <c r="C19" s="22"/>
      <c r="D19" s="67"/>
      <c r="E19" s="67"/>
      <c r="F19" s="67"/>
      <c r="G19" s="67"/>
      <c r="H19" s="67"/>
      <c r="I19" s="67"/>
      <c r="J19" s="72"/>
      <c r="K19" s="67"/>
      <c r="L19" s="67"/>
      <c r="M19" s="67"/>
      <c r="N19" s="67"/>
      <c r="O19" s="71"/>
      <c r="P19" s="67"/>
      <c r="Q19" s="71"/>
      <c r="R19" s="67">
        <v>48.9</v>
      </c>
      <c r="S19" s="72"/>
      <c r="T19" s="72">
        <v>218.8</v>
      </c>
      <c r="U19" s="72">
        <v>88.4</v>
      </c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356.1</v>
      </c>
      <c r="AG19" s="71">
        <f t="shared" si="3"/>
        <v>2791.5</v>
      </c>
    </row>
    <row r="20" spans="1:33" ht="15">
      <c r="A20" s="3" t="s">
        <v>2</v>
      </c>
      <c r="B20" s="22">
        <f>3754.9-98</f>
        <v>3656.9</v>
      </c>
      <c r="C20" s="22"/>
      <c r="D20" s="67"/>
      <c r="E20" s="67"/>
      <c r="F20" s="67"/>
      <c r="G20" s="67"/>
      <c r="H20" s="67"/>
      <c r="I20" s="67"/>
      <c r="J20" s="72"/>
      <c r="K20" s="67"/>
      <c r="L20" s="67"/>
      <c r="M20" s="67"/>
      <c r="N20" s="67"/>
      <c r="O20" s="71"/>
      <c r="P20" s="67">
        <v>19.1</v>
      </c>
      <c r="Q20" s="71"/>
      <c r="R20" s="67">
        <v>640.6</v>
      </c>
      <c r="S20" s="72"/>
      <c r="T20" s="72">
        <v>125.5</v>
      </c>
      <c r="U20" s="72">
        <v>108.2</v>
      </c>
      <c r="V20" s="72">
        <v>60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953.4000000000001</v>
      </c>
      <c r="AG20" s="71">
        <f t="shared" si="3"/>
        <v>2703.5</v>
      </c>
    </row>
    <row r="21" spans="1:33" ht="15">
      <c r="A21" s="3" t="s">
        <v>16</v>
      </c>
      <c r="B21" s="22">
        <v>1165</v>
      </c>
      <c r="C21" s="22"/>
      <c r="D21" s="67"/>
      <c r="E21" s="67"/>
      <c r="F21" s="67"/>
      <c r="G21" s="67"/>
      <c r="H21" s="67"/>
      <c r="I21" s="67"/>
      <c r="J21" s="72"/>
      <c r="K21" s="67"/>
      <c r="L21" s="67"/>
      <c r="M21" s="67"/>
      <c r="N21" s="67"/>
      <c r="O21" s="71"/>
      <c r="P21" s="67"/>
      <c r="Q21" s="71"/>
      <c r="R21" s="67">
        <v>874.5</v>
      </c>
      <c r="S21" s="72"/>
      <c r="T21" s="72">
        <v>251.8</v>
      </c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1126.3</v>
      </c>
      <c r="AG21" s="71">
        <f t="shared" si="3"/>
        <v>38.700000000000045</v>
      </c>
    </row>
    <row r="22" spans="1:33" ht="1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1">
        <f t="shared" si="3"/>
        <v>0</v>
      </c>
    </row>
    <row r="23" spans="1:33" ht="15">
      <c r="A23" s="3" t="s">
        <v>23</v>
      </c>
      <c r="B23" s="22">
        <f aca="true" t="shared" si="4" ref="B23:AD23">B15-B17-B18-B19-B20-B21-B22</f>
        <v>97.79999999999518</v>
      </c>
      <c r="C23" s="22">
        <f t="shared" si="4"/>
        <v>0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0</v>
      </c>
      <c r="H23" s="67">
        <f t="shared" si="4"/>
        <v>0</v>
      </c>
      <c r="I23" s="67">
        <f t="shared" si="4"/>
        <v>0</v>
      </c>
      <c r="J23" s="67">
        <f t="shared" si="4"/>
        <v>0</v>
      </c>
      <c r="K23" s="67">
        <f t="shared" si="4"/>
        <v>0</v>
      </c>
      <c r="L23" s="67">
        <f t="shared" si="4"/>
        <v>0</v>
      </c>
      <c r="M23" s="67">
        <f t="shared" si="4"/>
        <v>0</v>
      </c>
      <c r="N23" s="67">
        <f t="shared" si="4"/>
        <v>0</v>
      </c>
      <c r="O23" s="67">
        <f t="shared" si="4"/>
        <v>3.637978807091713E-12</v>
      </c>
      <c r="P23" s="67">
        <f t="shared" si="4"/>
        <v>0</v>
      </c>
      <c r="Q23" s="67">
        <f t="shared" si="4"/>
        <v>0</v>
      </c>
      <c r="R23" s="67">
        <f t="shared" si="4"/>
        <v>-1.1368683772161603E-13</v>
      </c>
      <c r="S23" s="67">
        <f t="shared" si="4"/>
        <v>0</v>
      </c>
      <c r="T23" s="67">
        <f t="shared" si="4"/>
        <v>8.5</v>
      </c>
      <c r="U23" s="67">
        <f t="shared" si="4"/>
        <v>6.100000000000719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14.600000000004243</v>
      </c>
      <c r="AG23" s="71">
        <f t="shared" si="3"/>
        <v>83.19999999999094</v>
      </c>
    </row>
    <row r="24" spans="1:33" ht="15" customHeight="1">
      <c r="A24" s="4" t="s">
        <v>7</v>
      </c>
      <c r="B24" s="22">
        <f>33442.4-25.4</f>
        <v>33417</v>
      </c>
      <c r="C24" s="22"/>
      <c r="D24" s="67"/>
      <c r="E24" s="67"/>
      <c r="F24" s="67"/>
      <c r="G24" s="67"/>
      <c r="H24" s="67"/>
      <c r="I24" s="67"/>
      <c r="J24" s="72"/>
      <c r="K24" s="67"/>
      <c r="L24" s="67"/>
      <c r="M24" s="67"/>
      <c r="N24" s="67"/>
      <c r="O24" s="71">
        <v>10253</v>
      </c>
      <c r="P24" s="67"/>
      <c r="Q24" s="71"/>
      <c r="R24" s="71"/>
      <c r="S24" s="72"/>
      <c r="T24" s="72">
        <f>393.2+8836.7</f>
        <v>9229.900000000001</v>
      </c>
      <c r="U24" s="72">
        <f>6482.3+67.5</f>
        <v>6549.8</v>
      </c>
      <c r="V24" s="72">
        <f>34.1+83</f>
        <v>117.1</v>
      </c>
      <c r="W24" s="72">
        <v>81.4</v>
      </c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26231.2</v>
      </c>
      <c r="AG24" s="71">
        <f t="shared" si="3"/>
        <v>7185.799999999999</v>
      </c>
    </row>
    <row r="25" spans="1:34" s="53" customFormat="1" ht="15" customHeight="1">
      <c r="A25" s="51" t="s">
        <v>39</v>
      </c>
      <c r="B25" s="52">
        <v>22003</v>
      </c>
      <c r="C25" s="52"/>
      <c r="D25" s="75"/>
      <c r="E25" s="75"/>
      <c r="F25" s="75"/>
      <c r="G25" s="75"/>
      <c r="H25" s="75"/>
      <c r="I25" s="75"/>
      <c r="J25" s="76"/>
      <c r="K25" s="75"/>
      <c r="L25" s="75"/>
      <c r="M25" s="75"/>
      <c r="N25" s="75"/>
      <c r="O25" s="77">
        <v>10253</v>
      </c>
      <c r="P25" s="75"/>
      <c r="Q25" s="77"/>
      <c r="R25" s="77"/>
      <c r="S25" s="76"/>
      <c r="T25" s="76">
        <v>8836.7</v>
      </c>
      <c r="U25" s="76">
        <v>67.5</v>
      </c>
      <c r="V25" s="76">
        <v>83</v>
      </c>
      <c r="W25" s="76">
        <v>81.4</v>
      </c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19321.600000000002</v>
      </c>
      <c r="AG25" s="78">
        <f t="shared" si="3"/>
        <v>2681.399999999998</v>
      </c>
      <c r="AH25" s="57"/>
    </row>
    <row r="26" spans="1:34" ht="15" hidden="1">
      <c r="A26" s="3" t="s">
        <v>5</v>
      </c>
      <c r="B26" s="22"/>
      <c r="C26" s="22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1">
        <f t="shared" si="3"/>
        <v>0</v>
      </c>
      <c r="AH26" s="6"/>
    </row>
    <row r="27" spans="1:33" ht="15" hidden="1">
      <c r="A27" s="3" t="s">
        <v>3</v>
      </c>
      <c r="B27" s="22"/>
      <c r="C27" s="22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1">
        <f t="shared" si="3"/>
        <v>0</v>
      </c>
    </row>
    <row r="28" spans="1:33" ht="15" hidden="1">
      <c r="A28" s="3" t="s">
        <v>1</v>
      </c>
      <c r="B28" s="22"/>
      <c r="C28" s="22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1">
        <f t="shared" si="3"/>
        <v>0</v>
      </c>
    </row>
    <row r="29" spans="1:33" ht="15" hidden="1">
      <c r="A29" s="3" t="s">
        <v>2</v>
      </c>
      <c r="B29" s="22"/>
      <c r="C29" s="22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1">
        <f t="shared" si="3"/>
        <v>0</v>
      </c>
    </row>
    <row r="30" spans="1:33" ht="15" hidden="1">
      <c r="A30" s="3" t="s">
        <v>16</v>
      </c>
      <c r="B30" s="22"/>
      <c r="C30" s="22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1">
        <f t="shared" si="3"/>
        <v>0</v>
      </c>
    </row>
    <row r="31" spans="1:33" ht="1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1">
        <f t="shared" si="3"/>
        <v>0</v>
      </c>
    </row>
    <row r="32" spans="1:33" ht="15">
      <c r="A32" s="3" t="s">
        <v>23</v>
      </c>
      <c r="B32" s="22">
        <f>B24</f>
        <v>33417</v>
      </c>
      <c r="C32" s="22">
        <f aca="true" t="shared" si="5" ref="C32:AD32">C24-C26-C27-C28-C29-C30-C31</f>
        <v>0</v>
      </c>
      <c r="D32" s="67">
        <f t="shared" si="5"/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67">
        <f t="shared" si="5"/>
        <v>0</v>
      </c>
      <c r="N32" s="67">
        <f t="shared" si="5"/>
        <v>0</v>
      </c>
      <c r="O32" s="67">
        <f t="shared" si="5"/>
        <v>10253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9229.900000000001</v>
      </c>
      <c r="U32" s="67">
        <f t="shared" si="5"/>
        <v>6549.8</v>
      </c>
      <c r="V32" s="67">
        <f t="shared" si="5"/>
        <v>117.1</v>
      </c>
      <c r="W32" s="67">
        <f t="shared" si="5"/>
        <v>81.4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26231.2</v>
      </c>
      <c r="AG32" s="71">
        <f>AG24</f>
        <v>7185.799999999999</v>
      </c>
    </row>
    <row r="33" spans="1:33" ht="15" customHeight="1">
      <c r="A33" s="4" t="s">
        <v>8</v>
      </c>
      <c r="B33" s="22">
        <f>366.5-0.7</f>
        <v>365.8</v>
      </c>
      <c r="C33" s="22"/>
      <c r="D33" s="67"/>
      <c r="E33" s="67"/>
      <c r="F33" s="67"/>
      <c r="G33" s="67"/>
      <c r="H33" s="67"/>
      <c r="I33" s="67"/>
      <c r="J33" s="72"/>
      <c r="K33" s="67"/>
      <c r="L33" s="67"/>
      <c r="M33" s="67"/>
      <c r="N33" s="67"/>
      <c r="O33" s="71"/>
      <c r="P33" s="67"/>
      <c r="Q33" s="71">
        <v>87.7</v>
      </c>
      <c r="R33" s="67"/>
      <c r="S33" s="72"/>
      <c r="T33" s="72">
        <v>79.1</v>
      </c>
      <c r="U33" s="72">
        <v>87.8</v>
      </c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254.60000000000002</v>
      </c>
      <c r="AG33" s="71">
        <f aca="true" t="shared" si="6" ref="AG33:AG38">B33+C33-AF33</f>
        <v>111.19999999999999</v>
      </c>
    </row>
    <row r="34" spans="1:33" ht="15">
      <c r="A34" s="3" t="s">
        <v>5</v>
      </c>
      <c r="B34" s="22">
        <v>247.2</v>
      </c>
      <c r="C34" s="22"/>
      <c r="D34" s="67"/>
      <c r="E34" s="67"/>
      <c r="F34" s="67"/>
      <c r="G34" s="67"/>
      <c r="H34" s="67"/>
      <c r="I34" s="67"/>
      <c r="J34" s="72"/>
      <c r="K34" s="67"/>
      <c r="L34" s="67"/>
      <c r="M34" s="67"/>
      <c r="N34" s="67"/>
      <c r="O34" s="67"/>
      <c r="P34" s="67"/>
      <c r="Q34" s="71">
        <v>77.7</v>
      </c>
      <c r="R34" s="67"/>
      <c r="S34" s="72"/>
      <c r="T34" s="72">
        <v>79.1</v>
      </c>
      <c r="U34" s="72">
        <v>76.9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233.70000000000002</v>
      </c>
      <c r="AG34" s="71">
        <f t="shared" si="6"/>
        <v>13.499999999999972</v>
      </c>
    </row>
    <row r="35" spans="1:33" ht="15" hidden="1">
      <c r="A35" s="3" t="s">
        <v>1</v>
      </c>
      <c r="B35" s="22"/>
      <c r="C35" s="22"/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1">
        <f t="shared" si="6"/>
        <v>0</v>
      </c>
    </row>
    <row r="36" spans="1:33" ht="15">
      <c r="A36" s="3" t="s">
        <v>2</v>
      </c>
      <c r="B36" s="36">
        <v>103.2</v>
      </c>
      <c r="C36" s="22"/>
      <c r="D36" s="67"/>
      <c r="E36" s="67"/>
      <c r="F36" s="67"/>
      <c r="G36" s="67"/>
      <c r="H36" s="67"/>
      <c r="I36" s="67"/>
      <c r="J36" s="72"/>
      <c r="K36" s="67"/>
      <c r="L36" s="67"/>
      <c r="M36" s="67"/>
      <c r="N36" s="67"/>
      <c r="O36" s="71"/>
      <c r="P36" s="67"/>
      <c r="Q36" s="71"/>
      <c r="R36" s="67"/>
      <c r="S36" s="72"/>
      <c r="T36" s="72"/>
      <c r="U36" s="67">
        <v>10.9</v>
      </c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10.9</v>
      </c>
      <c r="AG36" s="71">
        <f t="shared" si="6"/>
        <v>92.3</v>
      </c>
    </row>
    <row r="37" spans="1:33" ht="15">
      <c r="A37" s="3" t="s">
        <v>16</v>
      </c>
      <c r="B37" s="22">
        <v>0</v>
      </c>
      <c r="C37" s="22"/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1">
        <f t="shared" si="6"/>
        <v>0</v>
      </c>
    </row>
    <row r="38" spans="1:33" ht="1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1">
        <f t="shared" si="6"/>
        <v>0</v>
      </c>
    </row>
    <row r="39" spans="1:33" ht="15">
      <c r="A39" s="3" t="s">
        <v>23</v>
      </c>
      <c r="B39" s="22">
        <f aca="true" t="shared" si="7" ref="B39:AD39">B33-B34-B36-B38-B37-B35</f>
        <v>15.40000000000002</v>
      </c>
      <c r="C39" s="22">
        <f t="shared" si="7"/>
        <v>0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10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-8.881784197001252E-15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9.999999999999991</v>
      </c>
      <c r="AG39" s="71">
        <f>AG33-AG34-AG36-AG38-AG35-AG37</f>
        <v>5.40000000000002</v>
      </c>
    </row>
    <row r="40" spans="1:33" ht="15" customHeight="1">
      <c r="A40" s="4" t="s">
        <v>29</v>
      </c>
      <c r="B40" s="22">
        <v>982.3</v>
      </c>
      <c r="C40" s="22"/>
      <c r="D40" s="67"/>
      <c r="E40" s="67"/>
      <c r="F40" s="67"/>
      <c r="G40" s="67"/>
      <c r="H40" s="67"/>
      <c r="I40" s="67"/>
      <c r="J40" s="72"/>
      <c r="K40" s="67"/>
      <c r="L40" s="67"/>
      <c r="M40" s="67"/>
      <c r="N40" s="67"/>
      <c r="O40" s="71"/>
      <c r="P40" s="67"/>
      <c r="Q40" s="71">
        <v>237.1</v>
      </c>
      <c r="R40" s="71"/>
      <c r="S40" s="72"/>
      <c r="T40" s="72"/>
      <c r="U40" s="72">
        <v>562.8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799.9</v>
      </c>
      <c r="AG40" s="71">
        <f aca="true" t="shared" si="8" ref="AG40:AG45">B40+C40-AF40</f>
        <v>182.39999999999998</v>
      </c>
    </row>
    <row r="41" spans="1:34" ht="15">
      <c r="A41" s="3" t="s">
        <v>5</v>
      </c>
      <c r="B41" s="22">
        <v>834.5</v>
      </c>
      <c r="C41" s="22"/>
      <c r="D41" s="67"/>
      <c r="E41" s="67"/>
      <c r="F41" s="67"/>
      <c r="G41" s="67"/>
      <c r="H41" s="67"/>
      <c r="I41" s="67"/>
      <c r="J41" s="72"/>
      <c r="K41" s="67"/>
      <c r="L41" s="67"/>
      <c r="M41" s="67"/>
      <c r="N41" s="67"/>
      <c r="O41" s="71"/>
      <c r="P41" s="67"/>
      <c r="Q41" s="67">
        <v>237.1</v>
      </c>
      <c r="R41" s="67"/>
      <c r="S41" s="72"/>
      <c r="T41" s="72"/>
      <c r="U41" s="72">
        <v>551.8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788.9</v>
      </c>
      <c r="AG41" s="71">
        <f t="shared" si="8"/>
        <v>45.60000000000002</v>
      </c>
      <c r="AH41" s="6"/>
    </row>
    <row r="42" spans="1:33" ht="15" hidden="1">
      <c r="A42" s="3" t="s">
        <v>3</v>
      </c>
      <c r="B42" s="22"/>
      <c r="C42" s="22"/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aca="true" t="shared" si="9" ref="AF42:AF59">SUM(D42:AD42)</f>
        <v>0</v>
      </c>
      <c r="AG42" s="71">
        <f t="shared" si="8"/>
        <v>0</v>
      </c>
    </row>
    <row r="43" spans="1:33" ht="15" hidden="1">
      <c r="A43" s="3" t="s">
        <v>1</v>
      </c>
      <c r="B43" s="22"/>
      <c r="C43" s="22"/>
      <c r="D43" s="67"/>
      <c r="E43" s="67"/>
      <c r="F43" s="67"/>
      <c r="G43" s="67"/>
      <c r="H43" s="67"/>
      <c r="I43" s="67"/>
      <c r="J43" s="72"/>
      <c r="K43" s="67"/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9"/>
        <v>0</v>
      </c>
      <c r="AG43" s="71">
        <f t="shared" si="8"/>
        <v>0</v>
      </c>
    </row>
    <row r="44" spans="1:33" ht="15">
      <c r="A44" s="3" t="s">
        <v>2</v>
      </c>
      <c r="B44" s="22">
        <v>137.5</v>
      </c>
      <c r="C44" s="22"/>
      <c r="D44" s="67"/>
      <c r="E44" s="67"/>
      <c r="F44" s="67"/>
      <c r="G44" s="67"/>
      <c r="H44" s="67"/>
      <c r="I44" s="67"/>
      <c r="J44" s="72"/>
      <c r="K44" s="67"/>
      <c r="L44" s="67"/>
      <c r="M44" s="67"/>
      <c r="N44" s="67"/>
      <c r="O44" s="71"/>
      <c r="P44" s="67"/>
      <c r="Q44" s="67"/>
      <c r="R44" s="67"/>
      <c r="S44" s="72"/>
      <c r="T44" s="72"/>
      <c r="U44" s="72">
        <v>7.3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9"/>
        <v>7.3</v>
      </c>
      <c r="AG44" s="71">
        <f t="shared" si="8"/>
        <v>130.2</v>
      </c>
    </row>
    <row r="45" spans="1:33" ht="1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9"/>
        <v>0</v>
      </c>
      <c r="AG45" s="71">
        <f t="shared" si="8"/>
        <v>0</v>
      </c>
    </row>
    <row r="46" spans="1:33" ht="15">
      <c r="A46" s="3" t="s">
        <v>23</v>
      </c>
      <c r="B46" s="22">
        <f aca="true" t="shared" si="10" ref="B46:AD46">B40-B41-B42-B43-B44-B45</f>
        <v>10.299999999999955</v>
      </c>
      <c r="C46" s="22">
        <f t="shared" si="10"/>
        <v>0</v>
      </c>
      <c r="D46" s="67">
        <f t="shared" si="10"/>
        <v>0</v>
      </c>
      <c r="E46" s="67">
        <f t="shared" si="10"/>
        <v>0</v>
      </c>
      <c r="F46" s="67">
        <f t="shared" si="10"/>
        <v>0</v>
      </c>
      <c r="G46" s="67">
        <f t="shared" si="10"/>
        <v>0</v>
      </c>
      <c r="H46" s="67">
        <f t="shared" si="10"/>
        <v>0</v>
      </c>
      <c r="I46" s="67">
        <f t="shared" si="10"/>
        <v>0</v>
      </c>
      <c r="J46" s="67">
        <f t="shared" si="10"/>
        <v>0</v>
      </c>
      <c r="K46" s="67">
        <f t="shared" si="10"/>
        <v>0</v>
      </c>
      <c r="L46" s="67">
        <f t="shared" si="10"/>
        <v>0</v>
      </c>
      <c r="M46" s="67">
        <f t="shared" si="10"/>
        <v>0</v>
      </c>
      <c r="N46" s="67">
        <f t="shared" si="10"/>
        <v>0</v>
      </c>
      <c r="O46" s="67">
        <f t="shared" si="10"/>
        <v>0</v>
      </c>
      <c r="P46" s="67">
        <f t="shared" si="10"/>
        <v>0</v>
      </c>
      <c r="Q46" s="67">
        <f t="shared" si="10"/>
        <v>0</v>
      </c>
      <c r="R46" s="67">
        <f t="shared" si="10"/>
        <v>0</v>
      </c>
      <c r="S46" s="67">
        <f t="shared" si="10"/>
        <v>0</v>
      </c>
      <c r="T46" s="67">
        <f t="shared" si="10"/>
        <v>0</v>
      </c>
      <c r="U46" s="67">
        <f t="shared" si="10"/>
        <v>3.7</v>
      </c>
      <c r="V46" s="67">
        <f t="shared" si="10"/>
        <v>0</v>
      </c>
      <c r="W46" s="67">
        <f t="shared" si="10"/>
        <v>0</v>
      </c>
      <c r="X46" s="67">
        <f t="shared" si="10"/>
        <v>0</v>
      </c>
      <c r="Y46" s="67">
        <f t="shared" si="10"/>
        <v>0</v>
      </c>
      <c r="Z46" s="67">
        <f t="shared" si="10"/>
        <v>0</v>
      </c>
      <c r="AA46" s="67">
        <f t="shared" si="10"/>
        <v>0</v>
      </c>
      <c r="AB46" s="67">
        <f t="shared" si="10"/>
        <v>0</v>
      </c>
      <c r="AC46" s="67">
        <f t="shared" si="10"/>
        <v>0</v>
      </c>
      <c r="AD46" s="67">
        <f t="shared" si="10"/>
        <v>0</v>
      </c>
      <c r="AE46" s="67"/>
      <c r="AF46" s="71">
        <f t="shared" si="9"/>
        <v>3.7</v>
      </c>
      <c r="AG46" s="71">
        <f>AG40-AG41-AG42-AG43-AG44-AG45</f>
        <v>6.599999999999966</v>
      </c>
    </row>
    <row r="47" spans="1:33" ht="17.25" customHeight="1">
      <c r="A47" s="4" t="s">
        <v>43</v>
      </c>
      <c r="B47" s="29">
        <v>866.7</v>
      </c>
      <c r="C47" s="22"/>
      <c r="D47" s="67"/>
      <c r="E47" s="79"/>
      <c r="F47" s="79"/>
      <c r="G47" s="79"/>
      <c r="H47" s="79"/>
      <c r="I47" s="79"/>
      <c r="J47" s="80"/>
      <c r="K47" s="79"/>
      <c r="L47" s="79"/>
      <c r="M47" s="79"/>
      <c r="N47" s="79"/>
      <c r="O47" s="81">
        <v>144.5</v>
      </c>
      <c r="P47" s="79"/>
      <c r="Q47" s="79"/>
      <c r="R47" s="79">
        <v>120.5</v>
      </c>
      <c r="S47" s="80"/>
      <c r="T47" s="80">
        <v>0.1</v>
      </c>
      <c r="U47" s="79"/>
      <c r="V47" s="79">
        <v>30.9</v>
      </c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9"/>
        <v>296</v>
      </c>
      <c r="AG47" s="71">
        <f>B47+C47-AF47</f>
        <v>570.7</v>
      </c>
    </row>
    <row r="48" spans="1:33" ht="15">
      <c r="A48" s="3" t="s">
        <v>5</v>
      </c>
      <c r="B48" s="22">
        <v>0</v>
      </c>
      <c r="C48" s="22"/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9"/>
        <v>0</v>
      </c>
      <c r="AG48" s="71">
        <f>B48+C48-AF48</f>
        <v>0</v>
      </c>
    </row>
    <row r="49" spans="1:33" ht="15">
      <c r="A49" s="3" t="s">
        <v>16</v>
      </c>
      <c r="B49" s="22">
        <v>565.6</v>
      </c>
      <c r="C49" s="22"/>
      <c r="D49" s="67"/>
      <c r="E49" s="67"/>
      <c r="F49" s="67"/>
      <c r="G49" s="67"/>
      <c r="H49" s="67"/>
      <c r="I49" s="67"/>
      <c r="J49" s="72"/>
      <c r="K49" s="67"/>
      <c r="L49" s="67"/>
      <c r="M49" s="67"/>
      <c r="N49" s="67"/>
      <c r="O49" s="71">
        <v>144.4</v>
      </c>
      <c r="P49" s="67"/>
      <c r="Q49" s="67"/>
      <c r="R49" s="67">
        <v>120.5</v>
      </c>
      <c r="S49" s="72"/>
      <c r="T49" s="72">
        <v>0.1</v>
      </c>
      <c r="U49" s="67"/>
      <c r="V49" s="67">
        <v>30.9</v>
      </c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9"/>
        <v>295.9</v>
      </c>
      <c r="AG49" s="71">
        <f>B49+C49-AF49</f>
        <v>269.70000000000005</v>
      </c>
    </row>
    <row r="50" spans="1:33" ht="28.5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9"/>
        <v>0</v>
      </c>
      <c r="AG50" s="71">
        <f>B50+C50-AF50</f>
        <v>0</v>
      </c>
    </row>
    <row r="51" spans="1:33" ht="15">
      <c r="A51" s="48" t="s">
        <v>23</v>
      </c>
      <c r="B51" s="22">
        <f aca="true" t="shared" si="11" ref="B51:AD51">B47-B48-B49</f>
        <v>301.1</v>
      </c>
      <c r="C51" s="22">
        <f t="shared" si="11"/>
        <v>0</v>
      </c>
      <c r="D51" s="67">
        <f t="shared" si="11"/>
        <v>0</v>
      </c>
      <c r="E51" s="67">
        <f t="shared" si="11"/>
        <v>0</v>
      </c>
      <c r="F51" s="67">
        <f t="shared" si="11"/>
        <v>0</v>
      </c>
      <c r="G51" s="67">
        <f t="shared" si="11"/>
        <v>0</v>
      </c>
      <c r="H51" s="67">
        <f t="shared" si="11"/>
        <v>0</v>
      </c>
      <c r="I51" s="67">
        <f t="shared" si="11"/>
        <v>0</v>
      </c>
      <c r="J51" s="67">
        <f t="shared" si="11"/>
        <v>0</v>
      </c>
      <c r="K51" s="67">
        <f t="shared" si="11"/>
        <v>0</v>
      </c>
      <c r="L51" s="67">
        <f t="shared" si="11"/>
        <v>0</v>
      </c>
      <c r="M51" s="67">
        <f t="shared" si="11"/>
        <v>0</v>
      </c>
      <c r="N51" s="67">
        <f t="shared" si="11"/>
        <v>0</v>
      </c>
      <c r="O51" s="67">
        <f t="shared" si="11"/>
        <v>0.09999999999999432</v>
      </c>
      <c r="P51" s="67">
        <f t="shared" si="11"/>
        <v>0</v>
      </c>
      <c r="Q51" s="67">
        <f t="shared" si="11"/>
        <v>0</v>
      </c>
      <c r="R51" s="67">
        <f t="shared" si="11"/>
        <v>0</v>
      </c>
      <c r="S51" s="67">
        <f t="shared" si="11"/>
        <v>0</v>
      </c>
      <c r="T51" s="67">
        <f t="shared" si="11"/>
        <v>0</v>
      </c>
      <c r="U51" s="67">
        <f t="shared" si="11"/>
        <v>0</v>
      </c>
      <c r="V51" s="67">
        <f t="shared" si="11"/>
        <v>0</v>
      </c>
      <c r="W51" s="67">
        <f t="shared" si="11"/>
        <v>0</v>
      </c>
      <c r="X51" s="67">
        <f t="shared" si="11"/>
        <v>0</v>
      </c>
      <c r="Y51" s="67">
        <f t="shared" si="11"/>
        <v>0</v>
      </c>
      <c r="Z51" s="67">
        <f t="shared" si="11"/>
        <v>0</v>
      </c>
      <c r="AA51" s="67">
        <f t="shared" si="11"/>
        <v>0</v>
      </c>
      <c r="AB51" s="67">
        <f t="shared" si="11"/>
        <v>0</v>
      </c>
      <c r="AC51" s="67">
        <f t="shared" si="11"/>
        <v>0</v>
      </c>
      <c r="AD51" s="67">
        <f t="shared" si="11"/>
        <v>0</v>
      </c>
      <c r="AE51" s="67"/>
      <c r="AF51" s="71">
        <f t="shared" si="9"/>
        <v>0.09999999999999432</v>
      </c>
      <c r="AG51" s="71">
        <f>AG47-AG49-AG48</f>
        <v>301</v>
      </c>
    </row>
    <row r="52" spans="1:33" ht="15" customHeight="1">
      <c r="A52" s="4" t="s">
        <v>0</v>
      </c>
      <c r="B52" s="22">
        <f>2841.3-97.3+528.7</f>
        <v>3272.7</v>
      </c>
      <c r="C52" s="22"/>
      <c r="D52" s="67"/>
      <c r="E52" s="67"/>
      <c r="F52" s="67"/>
      <c r="G52" s="67"/>
      <c r="H52" s="67"/>
      <c r="I52" s="67"/>
      <c r="J52" s="72"/>
      <c r="K52" s="67"/>
      <c r="L52" s="67"/>
      <c r="M52" s="67"/>
      <c r="N52" s="67"/>
      <c r="O52" s="71"/>
      <c r="P52" s="67"/>
      <c r="Q52" s="67"/>
      <c r="R52" s="67">
        <v>627.6</v>
      </c>
      <c r="S52" s="72">
        <v>194.6</v>
      </c>
      <c r="T52" s="72"/>
      <c r="U52" s="72">
        <v>194.6</v>
      </c>
      <c r="V52" s="72">
        <v>1234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9"/>
        <v>2250.8</v>
      </c>
      <c r="AG52" s="71">
        <f aca="true" t="shared" si="12" ref="AG52:AG59">B52+C52-AF52</f>
        <v>1021.8999999999996</v>
      </c>
    </row>
    <row r="53" spans="1:33" ht="15" customHeight="1">
      <c r="A53" s="3" t="s">
        <v>2</v>
      </c>
      <c r="B53" s="22">
        <f>967.9-67.9+528.7</f>
        <v>1428.7</v>
      </c>
      <c r="C53" s="22"/>
      <c r="D53" s="67"/>
      <c r="E53" s="67"/>
      <c r="F53" s="67"/>
      <c r="G53" s="67"/>
      <c r="H53" s="67"/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>
        <v>194.6</v>
      </c>
      <c r="T53" s="72"/>
      <c r="U53" s="72"/>
      <c r="V53" s="72">
        <v>1234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9"/>
        <v>1428.6</v>
      </c>
      <c r="AG53" s="71">
        <f t="shared" si="12"/>
        <v>0.10000000000013642</v>
      </c>
    </row>
    <row r="54" spans="1:34" ht="15" customHeight="1">
      <c r="A54" s="4" t="s">
        <v>9</v>
      </c>
      <c r="B54" s="36">
        <f>1783.6+4.1</f>
        <v>1787.6999999999998</v>
      </c>
      <c r="C54" s="22"/>
      <c r="D54" s="67"/>
      <c r="E54" s="67"/>
      <c r="F54" s="67"/>
      <c r="G54" s="67"/>
      <c r="H54" s="67"/>
      <c r="I54" s="67"/>
      <c r="J54" s="72"/>
      <c r="K54" s="67"/>
      <c r="L54" s="67"/>
      <c r="M54" s="67"/>
      <c r="N54" s="67"/>
      <c r="O54" s="71"/>
      <c r="P54" s="67">
        <v>364.6</v>
      </c>
      <c r="Q54" s="71">
        <v>44.8</v>
      </c>
      <c r="R54" s="67">
        <v>35.8</v>
      </c>
      <c r="S54" s="72"/>
      <c r="T54" s="72">
        <v>191.3</v>
      </c>
      <c r="U54" s="72">
        <v>646.1</v>
      </c>
      <c r="V54" s="72">
        <v>25.1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9"/>
        <v>1307.6999999999998</v>
      </c>
      <c r="AG54" s="67">
        <f t="shared" si="12"/>
        <v>480</v>
      </c>
      <c r="AH54" s="6"/>
    </row>
    <row r="55" spans="1:34" ht="15">
      <c r="A55" s="3" t="s">
        <v>5</v>
      </c>
      <c r="B55" s="22">
        <v>944.5</v>
      </c>
      <c r="C55" s="22"/>
      <c r="D55" s="67"/>
      <c r="E55" s="67"/>
      <c r="F55" s="67"/>
      <c r="G55" s="67"/>
      <c r="H55" s="67"/>
      <c r="I55" s="67"/>
      <c r="J55" s="72"/>
      <c r="K55" s="67"/>
      <c r="L55" s="67"/>
      <c r="M55" s="67"/>
      <c r="N55" s="67"/>
      <c r="O55" s="71"/>
      <c r="P55" s="67">
        <v>364.6</v>
      </c>
      <c r="Q55" s="71"/>
      <c r="R55" s="67"/>
      <c r="S55" s="72"/>
      <c r="T55" s="72"/>
      <c r="U55" s="72">
        <v>548.1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9"/>
        <v>912.7</v>
      </c>
      <c r="AG55" s="67">
        <f t="shared" si="12"/>
        <v>31.799999999999955</v>
      </c>
      <c r="AH55" s="6"/>
    </row>
    <row r="56" spans="1:34" ht="15" customHeight="1" hidden="1">
      <c r="A56" s="3" t="s">
        <v>1</v>
      </c>
      <c r="B56" s="22"/>
      <c r="C56" s="22"/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9"/>
        <v>0</v>
      </c>
      <c r="AG56" s="67">
        <f t="shared" si="12"/>
        <v>0</v>
      </c>
      <c r="AH56" s="6"/>
    </row>
    <row r="57" spans="1:33" ht="15">
      <c r="A57" s="3" t="s">
        <v>2</v>
      </c>
      <c r="B57" s="29">
        <v>177.1</v>
      </c>
      <c r="C57" s="22"/>
      <c r="D57" s="67"/>
      <c r="E57" s="67"/>
      <c r="F57" s="67"/>
      <c r="G57" s="67"/>
      <c r="H57" s="67"/>
      <c r="I57" s="67"/>
      <c r="J57" s="72"/>
      <c r="K57" s="67"/>
      <c r="L57" s="67"/>
      <c r="M57" s="67"/>
      <c r="N57" s="67"/>
      <c r="O57" s="71"/>
      <c r="P57" s="67"/>
      <c r="Q57" s="71"/>
      <c r="R57" s="67"/>
      <c r="S57" s="72"/>
      <c r="T57" s="72"/>
      <c r="U57" s="72">
        <v>0.3</v>
      </c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9"/>
        <v>0.3</v>
      </c>
      <c r="AG57" s="67">
        <f t="shared" si="12"/>
        <v>176.79999999999998</v>
      </c>
    </row>
    <row r="58" spans="1:33" ht="15">
      <c r="A58" s="3" t="s">
        <v>16</v>
      </c>
      <c r="B58" s="29">
        <v>5.1</v>
      </c>
      <c r="C58" s="22"/>
      <c r="D58" s="67"/>
      <c r="E58" s="67"/>
      <c r="F58" s="67"/>
      <c r="G58" s="67"/>
      <c r="H58" s="67"/>
      <c r="I58" s="67"/>
      <c r="J58" s="72"/>
      <c r="K58" s="67"/>
      <c r="L58" s="67"/>
      <c r="M58" s="67"/>
      <c r="N58" s="67"/>
      <c r="O58" s="71"/>
      <c r="P58" s="67"/>
      <c r="Q58" s="71"/>
      <c r="R58" s="67">
        <v>5.1</v>
      </c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9"/>
        <v>5.1</v>
      </c>
      <c r="AG58" s="67">
        <f t="shared" si="12"/>
        <v>0</v>
      </c>
    </row>
    <row r="59" spans="1:33" ht="1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9"/>
        <v>0</v>
      </c>
      <c r="AG59" s="67">
        <f t="shared" si="12"/>
        <v>0</v>
      </c>
    </row>
    <row r="60" spans="1:33" ht="15">
      <c r="A60" s="3" t="s">
        <v>23</v>
      </c>
      <c r="B60" s="22">
        <f aca="true" t="shared" si="13" ref="B60:AD60">B54-B55-B57-B59-B56-B58</f>
        <v>660.9999999999998</v>
      </c>
      <c r="C60" s="22">
        <f t="shared" si="13"/>
        <v>0</v>
      </c>
      <c r="D60" s="67">
        <f t="shared" si="13"/>
        <v>0</v>
      </c>
      <c r="E60" s="67">
        <f t="shared" si="13"/>
        <v>0</v>
      </c>
      <c r="F60" s="67">
        <f t="shared" si="13"/>
        <v>0</v>
      </c>
      <c r="G60" s="67">
        <f t="shared" si="13"/>
        <v>0</v>
      </c>
      <c r="H60" s="67">
        <f t="shared" si="13"/>
        <v>0</v>
      </c>
      <c r="I60" s="67">
        <f t="shared" si="13"/>
        <v>0</v>
      </c>
      <c r="J60" s="67">
        <f t="shared" si="13"/>
        <v>0</v>
      </c>
      <c r="K60" s="67">
        <f t="shared" si="13"/>
        <v>0</v>
      </c>
      <c r="L60" s="67">
        <f t="shared" si="13"/>
        <v>0</v>
      </c>
      <c r="M60" s="67">
        <f t="shared" si="13"/>
        <v>0</v>
      </c>
      <c r="N60" s="67">
        <f t="shared" si="13"/>
        <v>0</v>
      </c>
      <c r="O60" s="67">
        <f t="shared" si="13"/>
        <v>0</v>
      </c>
      <c r="P60" s="67">
        <f t="shared" si="13"/>
        <v>0</v>
      </c>
      <c r="Q60" s="67">
        <f t="shared" si="13"/>
        <v>44.8</v>
      </c>
      <c r="R60" s="67">
        <f t="shared" si="13"/>
        <v>30.699999999999996</v>
      </c>
      <c r="S60" s="67">
        <f t="shared" si="13"/>
        <v>0</v>
      </c>
      <c r="T60" s="67">
        <f t="shared" si="13"/>
        <v>191.3</v>
      </c>
      <c r="U60" s="67">
        <f t="shared" si="13"/>
        <v>97.7</v>
      </c>
      <c r="V60" s="67">
        <f t="shared" si="13"/>
        <v>25.1</v>
      </c>
      <c r="W60" s="67">
        <f t="shared" si="13"/>
        <v>0</v>
      </c>
      <c r="X60" s="67">
        <f t="shared" si="13"/>
        <v>0</v>
      </c>
      <c r="Y60" s="67">
        <f t="shared" si="13"/>
        <v>0</v>
      </c>
      <c r="Z60" s="67">
        <f t="shared" si="13"/>
        <v>0</v>
      </c>
      <c r="AA60" s="67">
        <f t="shared" si="13"/>
        <v>0</v>
      </c>
      <c r="AB60" s="67">
        <f t="shared" si="13"/>
        <v>0</v>
      </c>
      <c r="AC60" s="67">
        <f t="shared" si="13"/>
        <v>0</v>
      </c>
      <c r="AD60" s="67">
        <f t="shared" si="13"/>
        <v>0</v>
      </c>
      <c r="AE60" s="67"/>
      <c r="AF60" s="67">
        <f>AF54-AF55-AF57-AF59-AF56-AF58</f>
        <v>389.59999999999974</v>
      </c>
      <c r="AG60" s="67">
        <f>AG54-AG55-AG57-AG59-AG56-AG58</f>
        <v>271.4000000000001</v>
      </c>
    </row>
    <row r="61" spans="1:33" ht="15" customHeight="1">
      <c r="A61" s="4" t="s">
        <v>10</v>
      </c>
      <c r="B61" s="22">
        <f>173.8-5.5</f>
        <v>168.3</v>
      </c>
      <c r="C61" s="22"/>
      <c r="D61" s="67"/>
      <c r="E61" s="67"/>
      <c r="F61" s="67"/>
      <c r="G61" s="67"/>
      <c r="H61" s="67"/>
      <c r="I61" s="67"/>
      <c r="J61" s="72"/>
      <c r="K61" s="67"/>
      <c r="L61" s="67"/>
      <c r="M61" s="67"/>
      <c r="N61" s="67"/>
      <c r="O61" s="71"/>
      <c r="P61" s="67"/>
      <c r="Q61" s="71"/>
      <c r="R61" s="67"/>
      <c r="S61" s="72"/>
      <c r="T61" s="72"/>
      <c r="U61" s="72">
        <v>63.9</v>
      </c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4" ref="AF61:AF92">SUM(D61:AD61)</f>
        <v>63.9</v>
      </c>
      <c r="AG61" s="67">
        <f aca="true" t="shared" si="15" ref="AG61:AG67">B61+C61-AF61</f>
        <v>104.4</v>
      </c>
    </row>
    <row r="62" spans="1:33" ht="15" customHeight="1">
      <c r="A62" s="4" t="s">
        <v>11</v>
      </c>
      <c r="B62" s="22">
        <f>2152.8-3</f>
        <v>2149.8</v>
      </c>
      <c r="C62" s="22"/>
      <c r="D62" s="67"/>
      <c r="E62" s="67"/>
      <c r="F62" s="67"/>
      <c r="G62" s="67"/>
      <c r="H62" s="67"/>
      <c r="I62" s="67"/>
      <c r="J62" s="72"/>
      <c r="K62" s="67"/>
      <c r="L62" s="67"/>
      <c r="M62" s="67"/>
      <c r="N62" s="67"/>
      <c r="O62" s="71"/>
      <c r="P62" s="67">
        <v>632.9</v>
      </c>
      <c r="Q62" s="71"/>
      <c r="R62" s="67"/>
      <c r="S62" s="72"/>
      <c r="T62" s="72">
        <v>35.2</v>
      </c>
      <c r="U62" s="72">
        <v>911.5</v>
      </c>
      <c r="V62" s="72">
        <v>180.2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4"/>
        <v>1759.8</v>
      </c>
      <c r="AG62" s="67">
        <f t="shared" si="15"/>
        <v>390.0000000000002</v>
      </c>
    </row>
    <row r="63" spans="1:34" ht="15">
      <c r="A63" s="3" t="s">
        <v>5</v>
      </c>
      <c r="B63" s="22">
        <v>1512.6</v>
      </c>
      <c r="C63" s="22"/>
      <c r="D63" s="67"/>
      <c r="E63" s="67"/>
      <c r="F63" s="67"/>
      <c r="G63" s="67"/>
      <c r="H63" s="67"/>
      <c r="I63" s="67"/>
      <c r="J63" s="72"/>
      <c r="K63" s="67"/>
      <c r="L63" s="67"/>
      <c r="M63" s="67"/>
      <c r="N63" s="67"/>
      <c r="O63" s="71"/>
      <c r="P63" s="67">
        <v>632.9</v>
      </c>
      <c r="Q63" s="71"/>
      <c r="R63" s="67"/>
      <c r="S63" s="72"/>
      <c r="T63" s="72">
        <v>34.3</v>
      </c>
      <c r="U63" s="72">
        <v>767.3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4"/>
        <v>1434.5</v>
      </c>
      <c r="AG63" s="67">
        <f t="shared" si="15"/>
        <v>78.09999999999991</v>
      </c>
      <c r="AH63" s="50"/>
    </row>
    <row r="64" spans="1:34" ht="15" hidden="1">
      <c r="A64" s="3" t="s">
        <v>3</v>
      </c>
      <c r="B64" s="22"/>
      <c r="C64" s="22"/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4"/>
        <v>0</v>
      </c>
      <c r="AG64" s="67">
        <f t="shared" si="15"/>
        <v>0</v>
      </c>
      <c r="AH64" s="6"/>
    </row>
    <row r="65" spans="1:34" ht="15">
      <c r="A65" s="3" t="s">
        <v>1</v>
      </c>
      <c r="B65" s="22">
        <v>31.6</v>
      </c>
      <c r="C65" s="22"/>
      <c r="D65" s="67"/>
      <c r="E65" s="67"/>
      <c r="F65" s="67"/>
      <c r="G65" s="67"/>
      <c r="H65" s="67"/>
      <c r="I65" s="67"/>
      <c r="J65" s="72"/>
      <c r="K65" s="67"/>
      <c r="L65" s="67"/>
      <c r="M65" s="67"/>
      <c r="N65" s="67"/>
      <c r="O65" s="71"/>
      <c r="P65" s="67"/>
      <c r="Q65" s="71"/>
      <c r="R65" s="67"/>
      <c r="S65" s="72"/>
      <c r="T65" s="72">
        <v>0.2</v>
      </c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4"/>
        <v>0.2</v>
      </c>
      <c r="AG65" s="67">
        <f t="shared" si="15"/>
        <v>31.400000000000002</v>
      </c>
      <c r="AH65" s="6"/>
    </row>
    <row r="66" spans="1:33" ht="15">
      <c r="A66" s="3" t="s">
        <v>2</v>
      </c>
      <c r="B66" s="22">
        <v>87.1</v>
      </c>
      <c r="C66" s="22"/>
      <c r="D66" s="67"/>
      <c r="E66" s="67"/>
      <c r="F66" s="67"/>
      <c r="G66" s="67"/>
      <c r="H66" s="67"/>
      <c r="I66" s="67"/>
      <c r="J66" s="72"/>
      <c r="K66" s="67"/>
      <c r="L66" s="67"/>
      <c r="M66" s="67"/>
      <c r="N66" s="67"/>
      <c r="O66" s="71"/>
      <c r="P66" s="67"/>
      <c r="Q66" s="67"/>
      <c r="R66" s="67"/>
      <c r="S66" s="72"/>
      <c r="T66" s="72">
        <v>0.2</v>
      </c>
      <c r="U66" s="72">
        <v>0.5</v>
      </c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4"/>
        <v>0.7</v>
      </c>
      <c r="AG66" s="67">
        <f t="shared" si="15"/>
        <v>86.39999999999999</v>
      </c>
    </row>
    <row r="67" spans="1:33" ht="15">
      <c r="A67" s="3" t="s">
        <v>16</v>
      </c>
      <c r="B67" s="22">
        <v>110</v>
      </c>
      <c r="C67" s="22"/>
      <c r="D67" s="67"/>
      <c r="E67" s="67"/>
      <c r="F67" s="67"/>
      <c r="G67" s="67"/>
      <c r="H67" s="67"/>
      <c r="I67" s="67"/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4"/>
        <v>0</v>
      </c>
      <c r="AG67" s="67">
        <f t="shared" si="15"/>
        <v>110</v>
      </c>
    </row>
    <row r="68" spans="1:33" ht="15">
      <c r="A68" s="3" t="s">
        <v>23</v>
      </c>
      <c r="B68" s="22">
        <f aca="true" t="shared" si="16" ref="B68:AD68">B62-B63-B66-B67-B65-B64</f>
        <v>408.5000000000002</v>
      </c>
      <c r="C68" s="22">
        <f t="shared" si="16"/>
        <v>0</v>
      </c>
      <c r="D68" s="67">
        <f t="shared" si="16"/>
        <v>0</v>
      </c>
      <c r="E68" s="67">
        <f t="shared" si="16"/>
        <v>0</v>
      </c>
      <c r="F68" s="67">
        <f t="shared" si="16"/>
        <v>0</v>
      </c>
      <c r="G68" s="67">
        <f t="shared" si="16"/>
        <v>0</v>
      </c>
      <c r="H68" s="67">
        <f t="shared" si="16"/>
        <v>0</v>
      </c>
      <c r="I68" s="67">
        <f t="shared" si="16"/>
        <v>0</v>
      </c>
      <c r="J68" s="67">
        <f t="shared" si="16"/>
        <v>0</v>
      </c>
      <c r="K68" s="67">
        <f t="shared" si="16"/>
        <v>0</v>
      </c>
      <c r="L68" s="67">
        <f t="shared" si="16"/>
        <v>0</v>
      </c>
      <c r="M68" s="67">
        <f t="shared" si="16"/>
        <v>0</v>
      </c>
      <c r="N68" s="67">
        <f t="shared" si="16"/>
        <v>0</v>
      </c>
      <c r="O68" s="67">
        <f t="shared" si="16"/>
        <v>0</v>
      </c>
      <c r="P68" s="67">
        <f t="shared" si="16"/>
        <v>0</v>
      </c>
      <c r="Q68" s="67">
        <f t="shared" si="16"/>
        <v>0</v>
      </c>
      <c r="R68" s="67">
        <f t="shared" si="16"/>
        <v>0</v>
      </c>
      <c r="S68" s="67">
        <f t="shared" si="16"/>
        <v>0</v>
      </c>
      <c r="T68" s="67">
        <f t="shared" si="16"/>
        <v>0.5000000000000058</v>
      </c>
      <c r="U68" s="67">
        <f t="shared" si="16"/>
        <v>143.70000000000005</v>
      </c>
      <c r="V68" s="67">
        <f t="shared" si="16"/>
        <v>180.2</v>
      </c>
      <c r="W68" s="67">
        <f t="shared" si="16"/>
        <v>0</v>
      </c>
      <c r="X68" s="67">
        <f t="shared" si="16"/>
        <v>0</v>
      </c>
      <c r="Y68" s="67">
        <f t="shared" si="16"/>
        <v>0</v>
      </c>
      <c r="Z68" s="67">
        <f t="shared" si="16"/>
        <v>0</v>
      </c>
      <c r="AA68" s="67">
        <f t="shared" si="16"/>
        <v>0</v>
      </c>
      <c r="AB68" s="67">
        <f t="shared" si="16"/>
        <v>0</v>
      </c>
      <c r="AC68" s="67">
        <f t="shared" si="16"/>
        <v>0</v>
      </c>
      <c r="AD68" s="67">
        <f t="shared" si="16"/>
        <v>0</v>
      </c>
      <c r="AE68" s="67"/>
      <c r="AF68" s="71">
        <f t="shared" si="14"/>
        <v>324.40000000000003</v>
      </c>
      <c r="AG68" s="67">
        <f>AG62-AG63-AG66-AG67-AG65-AG64</f>
        <v>84.10000000000034</v>
      </c>
    </row>
    <row r="69" spans="1:33" ht="30.75">
      <c r="A69" s="4" t="s">
        <v>45</v>
      </c>
      <c r="B69" s="22">
        <v>3529.6</v>
      </c>
      <c r="C69" s="22"/>
      <c r="D69" s="67"/>
      <c r="E69" s="67"/>
      <c r="F69" s="67"/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/>
      <c r="R69" s="67">
        <v>3529.6</v>
      </c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4"/>
        <v>3529.6</v>
      </c>
      <c r="AG69" s="82">
        <f aca="true" t="shared" si="17" ref="AG69:AG92">B69+C69-AF69</f>
        <v>0</v>
      </c>
    </row>
    <row r="70" spans="1:33" ht="15" hidden="1">
      <c r="A70" s="4" t="s">
        <v>32</v>
      </c>
      <c r="B70" s="22"/>
      <c r="C70" s="22"/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4"/>
        <v>0</v>
      </c>
      <c r="AG70" s="82">
        <f t="shared" si="17"/>
        <v>0</v>
      </c>
    </row>
    <row r="71" spans="1:50" ht="30.75">
      <c r="A71" s="4" t="s">
        <v>46</v>
      </c>
      <c r="B71" s="22">
        <v>0</v>
      </c>
      <c r="C71" s="24"/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4"/>
        <v>0</v>
      </c>
      <c r="AG71" s="82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f>971.5-29.8</f>
        <v>941.7</v>
      </c>
      <c r="C72" s="22"/>
      <c r="D72" s="67"/>
      <c r="E72" s="67"/>
      <c r="F72" s="67"/>
      <c r="G72" s="67"/>
      <c r="H72" s="67"/>
      <c r="I72" s="67"/>
      <c r="J72" s="72"/>
      <c r="K72" s="67"/>
      <c r="L72" s="67"/>
      <c r="M72" s="67"/>
      <c r="N72" s="67"/>
      <c r="O72" s="67"/>
      <c r="P72" s="67"/>
      <c r="Q72" s="71"/>
      <c r="R72" s="67"/>
      <c r="S72" s="72">
        <v>0</v>
      </c>
      <c r="T72" s="72">
        <v>170.5</v>
      </c>
      <c r="U72" s="72">
        <v>40</v>
      </c>
      <c r="V72" s="72">
        <v>4.2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4"/>
        <v>214.7</v>
      </c>
      <c r="AG72" s="82">
        <f t="shared" si="17"/>
        <v>727</v>
      </c>
    </row>
    <row r="73" spans="1:33" ht="15" customHeight="1">
      <c r="A73" s="3" t="s">
        <v>5</v>
      </c>
      <c r="B73" s="22">
        <v>43.2</v>
      </c>
      <c r="C73" s="22"/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4"/>
        <v>0</v>
      </c>
      <c r="AG73" s="82">
        <f t="shared" si="17"/>
        <v>43.2</v>
      </c>
    </row>
    <row r="74" spans="1:33" ht="15" customHeight="1">
      <c r="A74" s="3" t="s">
        <v>2</v>
      </c>
      <c r="B74" s="22">
        <v>175.8</v>
      </c>
      <c r="C74" s="22"/>
      <c r="D74" s="67"/>
      <c r="E74" s="67"/>
      <c r="F74" s="67"/>
      <c r="G74" s="67"/>
      <c r="H74" s="67"/>
      <c r="I74" s="67"/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4"/>
        <v>0</v>
      </c>
      <c r="AG74" s="82">
        <f t="shared" si="17"/>
        <v>175.8</v>
      </c>
    </row>
    <row r="75" spans="1:33" ht="15" customHeight="1">
      <c r="A75" s="3" t="s">
        <v>16</v>
      </c>
      <c r="B75" s="22">
        <v>7</v>
      </c>
      <c r="C75" s="22"/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>
        <v>7</v>
      </c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4"/>
        <v>7</v>
      </c>
      <c r="AG75" s="82">
        <f t="shared" si="17"/>
        <v>0</v>
      </c>
    </row>
    <row r="76" spans="1:33" s="11" customFormat="1" ht="15">
      <c r="A76" s="12" t="s">
        <v>48</v>
      </c>
      <c r="B76" s="22">
        <f>15.1+126-8.4</f>
        <v>132.7</v>
      </c>
      <c r="C76" s="22"/>
      <c r="D76" s="67"/>
      <c r="E76" s="79"/>
      <c r="F76" s="79"/>
      <c r="G76" s="79"/>
      <c r="H76" s="79"/>
      <c r="I76" s="79"/>
      <c r="J76" s="80"/>
      <c r="K76" s="79"/>
      <c r="L76" s="79"/>
      <c r="M76" s="79"/>
      <c r="N76" s="79"/>
      <c r="O76" s="79"/>
      <c r="P76" s="79"/>
      <c r="Q76" s="81"/>
      <c r="R76" s="79"/>
      <c r="S76" s="80">
        <v>107.3</v>
      </c>
      <c r="T76" s="80">
        <v>0.4</v>
      </c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4"/>
        <v>107.7</v>
      </c>
      <c r="AG76" s="82">
        <f t="shared" si="17"/>
        <v>24.999999999999986</v>
      </c>
    </row>
    <row r="77" spans="1:33" s="11" customFormat="1" ht="15">
      <c r="A77" s="3" t="s">
        <v>5</v>
      </c>
      <c r="B77" s="22">
        <v>115.1</v>
      </c>
      <c r="C77" s="22"/>
      <c r="D77" s="67"/>
      <c r="E77" s="79"/>
      <c r="F77" s="79"/>
      <c r="G77" s="79"/>
      <c r="H77" s="79"/>
      <c r="I77" s="79"/>
      <c r="J77" s="80"/>
      <c r="K77" s="79"/>
      <c r="L77" s="79"/>
      <c r="M77" s="79"/>
      <c r="N77" s="79"/>
      <c r="O77" s="79"/>
      <c r="P77" s="79"/>
      <c r="Q77" s="81"/>
      <c r="R77" s="79"/>
      <c r="S77" s="80">
        <v>107.3</v>
      </c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4"/>
        <v>107.3</v>
      </c>
      <c r="AG77" s="82">
        <f t="shared" si="17"/>
        <v>7.799999999999997</v>
      </c>
    </row>
    <row r="78" spans="1:33" s="11" customFormat="1" ht="15" hidden="1">
      <c r="A78" s="3" t="s">
        <v>3</v>
      </c>
      <c r="B78" s="22"/>
      <c r="C78" s="22"/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4"/>
        <v>0</v>
      </c>
      <c r="AG78" s="82">
        <f t="shared" si="17"/>
        <v>0</v>
      </c>
    </row>
    <row r="79" spans="1:33" s="11" customFormat="1" ht="15" hidden="1">
      <c r="A79" s="3" t="s">
        <v>1</v>
      </c>
      <c r="B79" s="22"/>
      <c r="C79" s="22"/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4"/>
        <v>0</v>
      </c>
      <c r="AG79" s="82">
        <f t="shared" si="17"/>
        <v>0</v>
      </c>
    </row>
    <row r="80" spans="1:33" s="11" customFormat="1" ht="15">
      <c r="A80" s="3" t="s">
        <v>2</v>
      </c>
      <c r="B80" s="22">
        <v>8</v>
      </c>
      <c r="C80" s="22"/>
      <c r="D80" s="67"/>
      <c r="E80" s="79"/>
      <c r="F80" s="79"/>
      <c r="G80" s="79"/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80">
        <v>0.4</v>
      </c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4"/>
        <v>0.4</v>
      </c>
      <c r="AG80" s="82">
        <f t="shared" si="17"/>
        <v>7.6</v>
      </c>
    </row>
    <row r="81" spans="1:33" s="11" customFormat="1" ht="15">
      <c r="A81" s="12" t="s">
        <v>49</v>
      </c>
      <c r="B81" s="22">
        <v>0</v>
      </c>
      <c r="C81" s="24"/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4"/>
        <v>0</v>
      </c>
      <c r="AG81" s="82">
        <f t="shared" si="17"/>
        <v>0</v>
      </c>
    </row>
    <row r="82" spans="1:33" s="11" customFormat="1" ht="15" hidden="1">
      <c r="A82" s="12" t="s">
        <v>41</v>
      </c>
      <c r="B82" s="22"/>
      <c r="C82" s="24"/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4"/>
        <v>0</v>
      </c>
      <c r="AG82" s="82">
        <f t="shared" si="17"/>
        <v>0</v>
      </c>
    </row>
    <row r="83" spans="1:33" s="11" customFormat="1" ht="15" hidden="1">
      <c r="A83" s="12" t="s">
        <v>40</v>
      </c>
      <c r="B83" s="24"/>
      <c r="C83" s="24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4"/>
        <v>0</v>
      </c>
      <c r="AG83" s="67">
        <f t="shared" si="17"/>
        <v>0</v>
      </c>
    </row>
    <row r="84" spans="1:33" s="11" customFormat="1" ht="15" hidden="1">
      <c r="A84" s="25" t="s">
        <v>21</v>
      </c>
      <c r="B84" s="22"/>
      <c r="C84" s="24"/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4"/>
        <v>0</v>
      </c>
      <c r="AG84" s="67">
        <f t="shared" si="17"/>
        <v>0</v>
      </c>
    </row>
    <row r="85" spans="1:33" s="11" customFormat="1" ht="15" hidden="1">
      <c r="A85" s="25" t="s">
        <v>22</v>
      </c>
      <c r="B85" s="22"/>
      <c r="C85" s="24"/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4"/>
        <v>0</v>
      </c>
      <c r="AG85" s="67">
        <f t="shared" si="17"/>
        <v>0</v>
      </c>
    </row>
    <row r="86" spans="1:33" s="11" customFormat="1" ht="30.75" hidden="1">
      <c r="A86" s="25" t="s">
        <v>24</v>
      </c>
      <c r="B86" s="22"/>
      <c r="C86" s="24"/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4"/>
        <v>0</v>
      </c>
      <c r="AG86" s="67">
        <f t="shared" si="17"/>
        <v>0</v>
      </c>
    </row>
    <row r="87" spans="1:33" s="11" customFormat="1" ht="30.75" hidden="1">
      <c r="A87" s="25" t="s">
        <v>28</v>
      </c>
      <c r="B87" s="22"/>
      <c r="C87" s="24"/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4"/>
        <v>0</v>
      </c>
      <c r="AG87" s="67">
        <f t="shared" si="17"/>
        <v>0</v>
      </c>
    </row>
    <row r="88" spans="1:34" ht="15" hidden="1">
      <c r="A88" s="4" t="s">
        <v>44</v>
      </c>
      <c r="B88" s="22"/>
      <c r="C88" s="22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4"/>
        <v>0</v>
      </c>
      <c r="AG88" s="67">
        <f t="shared" si="17"/>
        <v>0</v>
      </c>
      <c r="AH88" s="11"/>
    </row>
    <row r="89" spans="1:35" ht="15">
      <c r="A89" s="4" t="s">
        <v>50</v>
      </c>
      <c r="B89" s="22">
        <f>3250-528.7</f>
        <v>2721.3</v>
      </c>
      <c r="C89" s="22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72">
        <v>254.7</v>
      </c>
      <c r="T89" s="72">
        <v>197.5</v>
      </c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4"/>
        <v>452.2</v>
      </c>
      <c r="AG89" s="67">
        <f t="shared" si="17"/>
        <v>2269.1000000000004</v>
      </c>
      <c r="AH89" s="11"/>
      <c r="AI89" s="86"/>
    </row>
    <row r="90" spans="1:34" ht="15">
      <c r="A90" s="4" t="s">
        <v>51</v>
      </c>
      <c r="B90" s="22">
        <f>2457.1+1062.3</f>
        <v>3519.3999999999996</v>
      </c>
      <c r="C90" s="22"/>
      <c r="D90" s="67"/>
      <c r="E90" s="67"/>
      <c r="F90" s="67"/>
      <c r="G90" s="67"/>
      <c r="H90" s="67"/>
      <c r="I90" s="67"/>
      <c r="J90" s="67"/>
      <c r="K90" s="67"/>
      <c r="L90" s="67"/>
      <c r="M90" s="67">
        <v>819</v>
      </c>
      <c r="N90" s="67"/>
      <c r="O90" s="67">
        <v>819</v>
      </c>
      <c r="P90" s="67"/>
      <c r="Q90" s="67"/>
      <c r="R90" s="67"/>
      <c r="S90" s="72"/>
      <c r="T90" s="72"/>
      <c r="U90" s="67"/>
      <c r="V90" s="67"/>
      <c r="W90" s="67">
        <f>819.1+1062.3</f>
        <v>1881.4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4"/>
        <v>3519.4</v>
      </c>
      <c r="AG90" s="67">
        <f t="shared" si="17"/>
        <v>0</v>
      </c>
      <c r="AH90" s="11"/>
    </row>
    <row r="91" spans="1:34" ht="15">
      <c r="A91" s="4" t="s">
        <v>25</v>
      </c>
      <c r="B91" s="22">
        <f>76.1-25.2</f>
        <v>50.89999999999999</v>
      </c>
      <c r="C91" s="22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4"/>
        <v>0</v>
      </c>
      <c r="AG91" s="67">
        <f t="shared" si="17"/>
        <v>50.89999999999999</v>
      </c>
      <c r="AH91" s="11"/>
    </row>
    <row r="92" spans="1:34" ht="15">
      <c r="A92" s="4" t="s">
        <v>37</v>
      </c>
      <c r="B92" s="22">
        <v>0</v>
      </c>
      <c r="C92" s="22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4"/>
        <v>0</v>
      </c>
      <c r="AG92" s="67">
        <f t="shared" si="17"/>
        <v>0</v>
      </c>
      <c r="AH92" s="58"/>
    </row>
    <row r="93" spans="1:33" ht="1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">
      <c r="A94" s="7" t="s">
        <v>27</v>
      </c>
      <c r="B94" s="35">
        <f aca="true" t="shared" si="18" ref="B94:Y94">B10+B15+B24+B33+B47+B52+B54+B61+B62+B69+B71+B72+B76+B81+B82+B83+B88+B89+B90+B91+B40+B92+B70</f>
        <v>123241.9</v>
      </c>
      <c r="C94" s="35">
        <f t="shared" si="18"/>
        <v>0</v>
      </c>
      <c r="D94" s="83">
        <f t="shared" si="18"/>
        <v>0</v>
      </c>
      <c r="E94" s="83">
        <f t="shared" si="18"/>
        <v>0</v>
      </c>
      <c r="F94" s="83">
        <f t="shared" si="18"/>
        <v>0</v>
      </c>
      <c r="G94" s="83">
        <f t="shared" si="18"/>
        <v>0</v>
      </c>
      <c r="H94" s="83">
        <f t="shared" si="18"/>
        <v>0</v>
      </c>
      <c r="I94" s="83">
        <f t="shared" si="18"/>
        <v>0</v>
      </c>
      <c r="J94" s="83">
        <f t="shared" si="18"/>
        <v>0</v>
      </c>
      <c r="K94" s="83">
        <f t="shared" si="18"/>
        <v>0</v>
      </c>
      <c r="L94" s="83">
        <f t="shared" si="18"/>
        <v>0</v>
      </c>
      <c r="M94" s="83">
        <f t="shared" si="18"/>
        <v>819</v>
      </c>
      <c r="N94" s="83">
        <f t="shared" si="18"/>
        <v>3076.1</v>
      </c>
      <c r="O94" s="83">
        <f t="shared" si="18"/>
        <v>31191.4</v>
      </c>
      <c r="P94" s="83">
        <f t="shared" si="18"/>
        <v>1102</v>
      </c>
      <c r="Q94" s="83">
        <f t="shared" si="18"/>
        <v>389.20000000000005</v>
      </c>
      <c r="R94" s="83">
        <f t="shared" si="18"/>
        <v>5882.700000000001</v>
      </c>
      <c r="S94" s="83">
        <f t="shared" si="18"/>
        <v>1369.1000000000001</v>
      </c>
      <c r="T94" s="83">
        <f t="shared" si="18"/>
        <v>11709.800000000001</v>
      </c>
      <c r="U94" s="83">
        <f t="shared" si="18"/>
        <v>31759.899999999998</v>
      </c>
      <c r="V94" s="83">
        <f t="shared" si="18"/>
        <v>13766.000000000002</v>
      </c>
      <c r="W94" s="83">
        <f t="shared" si="18"/>
        <v>1963.4</v>
      </c>
      <c r="X94" s="83">
        <f t="shared" si="18"/>
        <v>0</v>
      </c>
      <c r="Y94" s="83">
        <f t="shared" si="18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103028.59999999998</v>
      </c>
      <c r="AG94" s="84">
        <f>AG10+AG15+AG24+AG33+AG47+AG52+AG54+AG61+AG62+AG69+AG71+AG72+AG76+AG81+AG82+AG83+AG88+AG89+AG90+AG91+AG70+AG40+AG92</f>
        <v>20213.30000000001</v>
      </c>
    </row>
    <row r="95" spans="1:33" ht="15">
      <c r="A95" s="3" t="s">
        <v>5</v>
      </c>
      <c r="B95" s="22">
        <f aca="true" t="shared" si="19" ref="B95:AD95">B11+B17+B26+B34+B55+B63+B73+B41+B77+B48</f>
        <v>64560.79999999999</v>
      </c>
      <c r="C95" s="22">
        <f t="shared" si="19"/>
        <v>0</v>
      </c>
      <c r="D95" s="67">
        <f t="shared" si="19"/>
        <v>0</v>
      </c>
      <c r="E95" s="67">
        <f t="shared" si="19"/>
        <v>0</v>
      </c>
      <c r="F95" s="67">
        <f t="shared" si="19"/>
        <v>0</v>
      </c>
      <c r="G95" s="67">
        <f t="shared" si="19"/>
        <v>0</v>
      </c>
      <c r="H95" s="67">
        <f t="shared" si="19"/>
        <v>0</v>
      </c>
      <c r="I95" s="67">
        <f t="shared" si="19"/>
        <v>0</v>
      </c>
      <c r="J95" s="67">
        <f t="shared" si="19"/>
        <v>0</v>
      </c>
      <c r="K95" s="67">
        <f t="shared" si="19"/>
        <v>0</v>
      </c>
      <c r="L95" s="67">
        <f t="shared" si="19"/>
        <v>0</v>
      </c>
      <c r="M95" s="67">
        <f t="shared" si="19"/>
        <v>0</v>
      </c>
      <c r="N95" s="67">
        <f t="shared" si="19"/>
        <v>3071.3</v>
      </c>
      <c r="O95" s="67">
        <f t="shared" si="19"/>
        <v>19974.899999999998</v>
      </c>
      <c r="P95" s="67">
        <f t="shared" si="19"/>
        <v>1075.4</v>
      </c>
      <c r="Q95" s="67">
        <f t="shared" si="19"/>
        <v>314.8</v>
      </c>
      <c r="R95" s="67">
        <f t="shared" si="19"/>
        <v>0</v>
      </c>
      <c r="S95" s="67">
        <f t="shared" si="19"/>
        <v>917.4</v>
      </c>
      <c r="T95" s="67">
        <f t="shared" si="19"/>
        <v>1292.4999999999998</v>
      </c>
      <c r="U95" s="67">
        <f t="shared" si="19"/>
        <v>24437.5</v>
      </c>
      <c r="V95" s="67">
        <f t="shared" si="19"/>
        <v>12057</v>
      </c>
      <c r="W95" s="67">
        <f t="shared" si="19"/>
        <v>0</v>
      </c>
      <c r="X95" s="67">
        <f t="shared" si="19"/>
        <v>0</v>
      </c>
      <c r="Y95" s="67">
        <f t="shared" si="19"/>
        <v>0</v>
      </c>
      <c r="Z95" s="67">
        <f t="shared" si="19"/>
        <v>0</v>
      </c>
      <c r="AA95" s="67">
        <f t="shared" si="19"/>
        <v>0</v>
      </c>
      <c r="AB95" s="67">
        <f t="shared" si="19"/>
        <v>0</v>
      </c>
      <c r="AC95" s="67">
        <f t="shared" si="19"/>
        <v>0</v>
      </c>
      <c r="AD95" s="67">
        <f t="shared" si="19"/>
        <v>0</v>
      </c>
      <c r="AE95" s="67"/>
      <c r="AF95" s="67">
        <f>SUM(D95:AD95)</f>
        <v>63140.8</v>
      </c>
      <c r="AG95" s="71">
        <f>B95+C95-AF95</f>
        <v>1419.9999999999854</v>
      </c>
    </row>
    <row r="96" spans="1:33" ht="15">
      <c r="A96" s="3" t="s">
        <v>2</v>
      </c>
      <c r="B96" s="22">
        <f aca="true" t="shared" si="20" ref="B96:AD96">B12+B20+B29+B36+B57+B66+B44+B80+B74+B53</f>
        <v>5945.3</v>
      </c>
      <c r="C96" s="22">
        <f t="shared" si="20"/>
        <v>0</v>
      </c>
      <c r="D96" s="67">
        <f t="shared" si="20"/>
        <v>0</v>
      </c>
      <c r="E96" s="67">
        <f t="shared" si="20"/>
        <v>0</v>
      </c>
      <c r="F96" s="67">
        <f t="shared" si="20"/>
        <v>0</v>
      </c>
      <c r="G96" s="67">
        <f t="shared" si="20"/>
        <v>0</v>
      </c>
      <c r="H96" s="67">
        <f t="shared" si="20"/>
        <v>0</v>
      </c>
      <c r="I96" s="67">
        <f t="shared" si="20"/>
        <v>0</v>
      </c>
      <c r="J96" s="67">
        <f t="shared" si="20"/>
        <v>0</v>
      </c>
      <c r="K96" s="67">
        <f t="shared" si="20"/>
        <v>0</v>
      </c>
      <c r="L96" s="67">
        <f t="shared" si="20"/>
        <v>0</v>
      </c>
      <c r="M96" s="67">
        <f t="shared" si="20"/>
        <v>0</v>
      </c>
      <c r="N96" s="67">
        <f t="shared" si="20"/>
        <v>0</v>
      </c>
      <c r="O96" s="67">
        <f t="shared" si="20"/>
        <v>0</v>
      </c>
      <c r="P96" s="67">
        <f t="shared" si="20"/>
        <v>19.1</v>
      </c>
      <c r="Q96" s="67">
        <f t="shared" si="20"/>
        <v>0</v>
      </c>
      <c r="R96" s="67">
        <f t="shared" si="20"/>
        <v>640.6</v>
      </c>
      <c r="S96" s="67">
        <f t="shared" si="20"/>
        <v>194.6</v>
      </c>
      <c r="T96" s="67">
        <f t="shared" si="20"/>
        <v>126.10000000000001</v>
      </c>
      <c r="U96" s="67">
        <f t="shared" si="20"/>
        <v>127.2</v>
      </c>
      <c r="V96" s="67">
        <f t="shared" si="20"/>
        <v>1351.2</v>
      </c>
      <c r="W96" s="67">
        <f t="shared" si="20"/>
        <v>0</v>
      </c>
      <c r="X96" s="67">
        <f t="shared" si="20"/>
        <v>0</v>
      </c>
      <c r="Y96" s="67">
        <f t="shared" si="20"/>
        <v>0</v>
      </c>
      <c r="Z96" s="67">
        <f t="shared" si="20"/>
        <v>0</v>
      </c>
      <c r="AA96" s="67">
        <f t="shared" si="20"/>
        <v>0</v>
      </c>
      <c r="AB96" s="67">
        <f t="shared" si="20"/>
        <v>0</v>
      </c>
      <c r="AC96" s="67">
        <f t="shared" si="20"/>
        <v>0</v>
      </c>
      <c r="AD96" s="67">
        <f t="shared" si="20"/>
        <v>0</v>
      </c>
      <c r="AE96" s="67"/>
      <c r="AF96" s="67">
        <f>SUM(D96:AD96)</f>
        <v>2458.8</v>
      </c>
      <c r="AG96" s="71">
        <f>B96+C96-AF96</f>
        <v>3486.5</v>
      </c>
    </row>
    <row r="97" spans="1:33" ht="15">
      <c r="A97" s="3" t="s">
        <v>3</v>
      </c>
      <c r="B97" s="22">
        <f aca="true" t="shared" si="21" ref="B97:AA97">B18+B27+B42+B64+B78</f>
        <v>0</v>
      </c>
      <c r="C97" s="22">
        <f t="shared" si="21"/>
        <v>0</v>
      </c>
      <c r="D97" s="67">
        <f t="shared" si="21"/>
        <v>0</v>
      </c>
      <c r="E97" s="67">
        <f t="shared" si="21"/>
        <v>0</v>
      </c>
      <c r="F97" s="67">
        <f t="shared" si="21"/>
        <v>0</v>
      </c>
      <c r="G97" s="67">
        <f t="shared" si="21"/>
        <v>0</v>
      </c>
      <c r="H97" s="67">
        <f t="shared" si="21"/>
        <v>0</v>
      </c>
      <c r="I97" s="67">
        <f t="shared" si="21"/>
        <v>0</v>
      </c>
      <c r="J97" s="67">
        <f t="shared" si="21"/>
        <v>0</v>
      </c>
      <c r="K97" s="67">
        <f t="shared" si="21"/>
        <v>0</v>
      </c>
      <c r="L97" s="67">
        <f t="shared" si="21"/>
        <v>0</v>
      </c>
      <c r="M97" s="67">
        <f t="shared" si="21"/>
        <v>0</v>
      </c>
      <c r="N97" s="67">
        <f t="shared" si="21"/>
        <v>0</v>
      </c>
      <c r="O97" s="67">
        <f t="shared" si="21"/>
        <v>0</v>
      </c>
      <c r="P97" s="67">
        <f t="shared" si="21"/>
        <v>0</v>
      </c>
      <c r="Q97" s="67">
        <f t="shared" si="21"/>
        <v>0</v>
      </c>
      <c r="R97" s="67">
        <f t="shared" si="21"/>
        <v>0</v>
      </c>
      <c r="S97" s="67">
        <f t="shared" si="21"/>
        <v>0</v>
      </c>
      <c r="T97" s="67">
        <f t="shared" si="21"/>
        <v>0</v>
      </c>
      <c r="U97" s="67">
        <f t="shared" si="21"/>
        <v>0</v>
      </c>
      <c r="V97" s="67">
        <f t="shared" si="21"/>
        <v>0</v>
      </c>
      <c r="W97" s="67">
        <f t="shared" si="21"/>
        <v>0</v>
      </c>
      <c r="X97" s="67">
        <f t="shared" si="21"/>
        <v>0</v>
      </c>
      <c r="Y97" s="67">
        <f t="shared" si="21"/>
        <v>0</v>
      </c>
      <c r="Z97" s="67">
        <f t="shared" si="21"/>
        <v>0</v>
      </c>
      <c r="AA97" s="67">
        <f t="shared" si="21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">
      <c r="A98" s="3" t="s">
        <v>1</v>
      </c>
      <c r="B98" s="22">
        <f aca="true" t="shared" si="22" ref="B98:AD98">B19+B28+B65+B35+B43+B56+B79</f>
        <v>3179.2</v>
      </c>
      <c r="C98" s="22">
        <f t="shared" si="22"/>
        <v>0</v>
      </c>
      <c r="D98" s="67">
        <f t="shared" si="22"/>
        <v>0</v>
      </c>
      <c r="E98" s="67">
        <f t="shared" si="22"/>
        <v>0</v>
      </c>
      <c r="F98" s="67">
        <f t="shared" si="22"/>
        <v>0</v>
      </c>
      <c r="G98" s="67">
        <f t="shared" si="22"/>
        <v>0</v>
      </c>
      <c r="H98" s="67">
        <f t="shared" si="22"/>
        <v>0</v>
      </c>
      <c r="I98" s="67">
        <f t="shared" si="22"/>
        <v>0</v>
      </c>
      <c r="J98" s="67">
        <f t="shared" si="22"/>
        <v>0</v>
      </c>
      <c r="K98" s="67">
        <f t="shared" si="22"/>
        <v>0</v>
      </c>
      <c r="L98" s="67">
        <f t="shared" si="22"/>
        <v>0</v>
      </c>
      <c r="M98" s="67">
        <f t="shared" si="22"/>
        <v>0</v>
      </c>
      <c r="N98" s="67">
        <f t="shared" si="22"/>
        <v>0</v>
      </c>
      <c r="O98" s="67">
        <f t="shared" si="22"/>
        <v>0</v>
      </c>
      <c r="P98" s="67">
        <f t="shared" si="22"/>
        <v>0</v>
      </c>
      <c r="Q98" s="67">
        <f t="shared" si="22"/>
        <v>0</v>
      </c>
      <c r="R98" s="67">
        <f t="shared" si="22"/>
        <v>48.9</v>
      </c>
      <c r="S98" s="67">
        <f t="shared" si="22"/>
        <v>0</v>
      </c>
      <c r="T98" s="67">
        <f t="shared" si="22"/>
        <v>219</v>
      </c>
      <c r="U98" s="67">
        <f t="shared" si="22"/>
        <v>88.4</v>
      </c>
      <c r="V98" s="67">
        <f t="shared" si="22"/>
        <v>0</v>
      </c>
      <c r="W98" s="67">
        <f t="shared" si="22"/>
        <v>0</v>
      </c>
      <c r="X98" s="67">
        <f t="shared" si="22"/>
        <v>0</v>
      </c>
      <c r="Y98" s="67">
        <f t="shared" si="22"/>
        <v>0</v>
      </c>
      <c r="Z98" s="67">
        <f t="shared" si="22"/>
        <v>0</v>
      </c>
      <c r="AA98" s="67">
        <f t="shared" si="22"/>
        <v>0</v>
      </c>
      <c r="AB98" s="67">
        <f t="shared" si="22"/>
        <v>0</v>
      </c>
      <c r="AC98" s="67">
        <f t="shared" si="22"/>
        <v>0</v>
      </c>
      <c r="AD98" s="67">
        <f t="shared" si="22"/>
        <v>0</v>
      </c>
      <c r="AE98" s="67"/>
      <c r="AF98" s="67">
        <f>SUM(D98:AD98)</f>
        <v>356.29999999999995</v>
      </c>
      <c r="AG98" s="71">
        <f>B98+C98-AF98</f>
        <v>2822.8999999999996</v>
      </c>
    </row>
    <row r="99" spans="1:33" ht="15">
      <c r="A99" s="3" t="s">
        <v>16</v>
      </c>
      <c r="B99" s="22">
        <f aca="true" t="shared" si="23" ref="B99:X99">B21+B30+B49+B37+B58+B13+B75+B67</f>
        <v>1852.6999999999998</v>
      </c>
      <c r="C99" s="22">
        <f t="shared" si="23"/>
        <v>0</v>
      </c>
      <c r="D99" s="67">
        <f t="shared" si="23"/>
        <v>0</v>
      </c>
      <c r="E99" s="67">
        <f t="shared" si="23"/>
        <v>0</v>
      </c>
      <c r="F99" s="67">
        <f t="shared" si="23"/>
        <v>0</v>
      </c>
      <c r="G99" s="67">
        <f t="shared" si="23"/>
        <v>0</v>
      </c>
      <c r="H99" s="67">
        <f t="shared" si="23"/>
        <v>0</v>
      </c>
      <c r="I99" s="67">
        <f t="shared" si="23"/>
        <v>0</v>
      </c>
      <c r="J99" s="67">
        <f t="shared" si="23"/>
        <v>0</v>
      </c>
      <c r="K99" s="67">
        <f t="shared" si="23"/>
        <v>0</v>
      </c>
      <c r="L99" s="67">
        <f t="shared" si="23"/>
        <v>0</v>
      </c>
      <c r="M99" s="67">
        <f t="shared" si="23"/>
        <v>0</v>
      </c>
      <c r="N99" s="67">
        <f t="shared" si="23"/>
        <v>0</v>
      </c>
      <c r="O99" s="67">
        <f t="shared" si="23"/>
        <v>144.4</v>
      </c>
      <c r="P99" s="67">
        <f t="shared" si="23"/>
        <v>0</v>
      </c>
      <c r="Q99" s="67">
        <f t="shared" si="23"/>
        <v>0</v>
      </c>
      <c r="R99" s="67">
        <f t="shared" si="23"/>
        <v>1000.1</v>
      </c>
      <c r="S99" s="67">
        <f t="shared" si="23"/>
        <v>0</v>
      </c>
      <c r="T99" s="67">
        <f t="shared" si="23"/>
        <v>258.9</v>
      </c>
      <c r="U99" s="67">
        <f t="shared" si="23"/>
        <v>0</v>
      </c>
      <c r="V99" s="67">
        <f t="shared" si="23"/>
        <v>30.9</v>
      </c>
      <c r="W99" s="67">
        <f t="shared" si="23"/>
        <v>0</v>
      </c>
      <c r="X99" s="67">
        <f t="shared" si="23"/>
        <v>0</v>
      </c>
      <c r="Y99" s="67">
        <f aca="true" t="shared" si="24" ref="Y99:AD99">Y21+Y30+Y49+Y37+Y58+Y13+Y75</f>
        <v>0</v>
      </c>
      <c r="Z99" s="67">
        <f t="shared" si="24"/>
        <v>0</v>
      </c>
      <c r="AA99" s="67">
        <f t="shared" si="24"/>
        <v>0</v>
      </c>
      <c r="AB99" s="67">
        <f t="shared" si="24"/>
        <v>0</v>
      </c>
      <c r="AC99" s="67">
        <f t="shared" si="24"/>
        <v>0</v>
      </c>
      <c r="AD99" s="67">
        <f t="shared" si="24"/>
        <v>0</v>
      </c>
      <c r="AE99" s="67"/>
      <c r="AF99" s="67">
        <f>SUM(D99:AD99)</f>
        <v>1434.3000000000002</v>
      </c>
      <c r="AG99" s="71">
        <f>B99+C99-AF99</f>
        <v>418.39999999999964</v>
      </c>
    </row>
    <row r="100" spans="1:33" ht="13.5">
      <c r="A100" s="1" t="s">
        <v>35</v>
      </c>
      <c r="B100" s="2">
        <f aca="true" t="shared" si="25" ref="B100:AD100">B94-B95-B96-B97-B98-B99</f>
        <v>47703.90000000001</v>
      </c>
      <c r="C100" s="2">
        <f t="shared" si="25"/>
        <v>0</v>
      </c>
      <c r="D100" s="85">
        <f t="shared" si="25"/>
        <v>0</v>
      </c>
      <c r="E100" s="85">
        <f t="shared" si="25"/>
        <v>0</v>
      </c>
      <c r="F100" s="85">
        <f t="shared" si="25"/>
        <v>0</v>
      </c>
      <c r="G100" s="85">
        <f t="shared" si="25"/>
        <v>0</v>
      </c>
      <c r="H100" s="85">
        <f t="shared" si="25"/>
        <v>0</v>
      </c>
      <c r="I100" s="85">
        <f t="shared" si="25"/>
        <v>0</v>
      </c>
      <c r="J100" s="85">
        <f t="shared" si="25"/>
        <v>0</v>
      </c>
      <c r="K100" s="85">
        <f t="shared" si="25"/>
        <v>0</v>
      </c>
      <c r="L100" s="85">
        <f t="shared" si="25"/>
        <v>0</v>
      </c>
      <c r="M100" s="85">
        <f t="shared" si="25"/>
        <v>819</v>
      </c>
      <c r="N100" s="85">
        <f t="shared" si="25"/>
        <v>4.799999999999727</v>
      </c>
      <c r="O100" s="85">
        <f t="shared" si="25"/>
        <v>11072.100000000004</v>
      </c>
      <c r="P100" s="85">
        <f t="shared" si="25"/>
        <v>7.499999999999908</v>
      </c>
      <c r="Q100" s="85">
        <f t="shared" si="25"/>
        <v>74.40000000000003</v>
      </c>
      <c r="R100" s="85">
        <f t="shared" si="25"/>
        <v>4193.1</v>
      </c>
      <c r="S100" s="85">
        <f t="shared" si="25"/>
        <v>257.10000000000014</v>
      </c>
      <c r="T100" s="85">
        <f t="shared" si="25"/>
        <v>9813.300000000001</v>
      </c>
      <c r="U100" s="85">
        <f t="shared" si="25"/>
        <v>7106.799999999998</v>
      </c>
      <c r="V100" s="85">
        <f t="shared" si="25"/>
        <v>326.9000000000018</v>
      </c>
      <c r="W100" s="85">
        <f t="shared" si="25"/>
        <v>1963.4</v>
      </c>
      <c r="X100" s="85">
        <f t="shared" si="25"/>
        <v>0</v>
      </c>
      <c r="Y100" s="85">
        <f t="shared" si="25"/>
        <v>0</v>
      </c>
      <c r="Z100" s="85">
        <f t="shared" si="25"/>
        <v>0</v>
      </c>
      <c r="AA100" s="85">
        <f t="shared" si="25"/>
        <v>0</v>
      </c>
      <c r="AB100" s="85">
        <f t="shared" si="25"/>
        <v>0</v>
      </c>
      <c r="AC100" s="85">
        <f t="shared" si="25"/>
        <v>0</v>
      </c>
      <c r="AD100" s="85">
        <f t="shared" si="25"/>
        <v>0</v>
      </c>
      <c r="AE100" s="85"/>
      <c r="AF100" s="85">
        <f>AF94-AF95-AF96-AF97-AF98-AF99</f>
        <v>35638.399999999965</v>
      </c>
      <c r="AG100" s="85">
        <f>AG94-AG95-AG96-AG97-AG98-AG99</f>
        <v>12065.500000000025</v>
      </c>
    </row>
    <row r="101" spans="1:33" s="32" customFormat="1" ht="15">
      <c r="A101" s="30"/>
      <c r="B101" s="31"/>
      <c r="C101" s="31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4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52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U20" sqref="U20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1" width="9.00390625" style="0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40" t="s">
        <v>12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</row>
    <row r="2" spans="1:33" ht="22.5" customHeight="1">
      <c r="A2" s="141" t="s">
        <v>53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</row>
    <row r="3" spans="2:33" s="87" customFormat="1" ht="17.25" customHeight="1">
      <c r="B3" s="88"/>
      <c r="C3" s="88"/>
      <c r="D3" s="88"/>
      <c r="AG3" s="89" t="s">
        <v>17</v>
      </c>
    </row>
    <row r="4" spans="1:33" s="87" customFormat="1" ht="62.25">
      <c r="A4" s="90" t="s">
        <v>26</v>
      </c>
      <c r="B4" s="91" t="s">
        <v>54</v>
      </c>
      <c r="C4" s="91" t="s">
        <v>18</v>
      </c>
      <c r="D4" s="91">
        <v>1</v>
      </c>
      <c r="E4" s="92">
        <v>2</v>
      </c>
      <c r="F4" s="92">
        <v>5</v>
      </c>
      <c r="G4" s="92">
        <v>6</v>
      </c>
      <c r="H4" s="92">
        <v>7</v>
      </c>
      <c r="I4" s="92">
        <v>8</v>
      </c>
      <c r="J4" s="92">
        <v>9</v>
      </c>
      <c r="K4" s="92">
        <v>12</v>
      </c>
      <c r="L4" s="92">
        <v>13</v>
      </c>
      <c r="M4" s="92">
        <v>14</v>
      </c>
      <c r="N4" s="92">
        <v>15</v>
      </c>
      <c r="O4" s="92">
        <v>16</v>
      </c>
      <c r="P4" s="92">
        <v>19</v>
      </c>
      <c r="Q4" s="92">
        <v>20</v>
      </c>
      <c r="R4" s="92">
        <v>21</v>
      </c>
      <c r="S4" s="92">
        <v>22</v>
      </c>
      <c r="T4" s="92">
        <v>23</v>
      </c>
      <c r="U4" s="92">
        <v>24</v>
      </c>
      <c r="V4" s="92">
        <v>25</v>
      </c>
      <c r="W4" s="92">
        <v>26</v>
      </c>
      <c r="X4" s="92">
        <v>27</v>
      </c>
      <c r="Y4" s="92">
        <v>28</v>
      </c>
      <c r="Z4" s="92"/>
      <c r="AA4" s="92"/>
      <c r="AB4" s="92"/>
      <c r="AC4" s="92"/>
      <c r="AD4" s="92"/>
      <c r="AE4" s="91" t="s">
        <v>19</v>
      </c>
      <c r="AF4" s="93" t="s">
        <v>13</v>
      </c>
      <c r="AG4" s="93" t="s">
        <v>20</v>
      </c>
    </row>
    <row r="5" spans="1:33" s="87" customFormat="1" ht="15" hidden="1">
      <c r="A5" s="94" t="s">
        <v>42</v>
      </c>
      <c r="B5" s="95">
        <f>SUM(D5:Y5)</f>
        <v>0</v>
      </c>
      <c r="C5" s="95"/>
      <c r="D5" s="96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5"/>
      <c r="AF5" s="98"/>
      <c r="AG5" s="98"/>
    </row>
    <row r="6" spans="1:33" s="87" customFormat="1" ht="15" hidden="1">
      <c r="A6" s="94" t="s">
        <v>33</v>
      </c>
      <c r="B6" s="99">
        <f>SUM(D6:AD6)</f>
        <v>0</v>
      </c>
      <c r="C6" s="96"/>
      <c r="D6" s="96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6"/>
      <c r="AF6" s="98"/>
      <c r="AG6" s="98"/>
    </row>
    <row r="7" spans="1:33" s="87" customFormat="1" ht="15">
      <c r="A7" s="94" t="s">
        <v>36</v>
      </c>
      <c r="B7" s="99">
        <f>SUM(D7:Y7)</f>
        <v>41182.6</v>
      </c>
      <c r="C7" s="95">
        <v>19662.3</v>
      </c>
      <c r="D7" s="97">
        <f>9589.8+11001.5</f>
        <v>20591.3</v>
      </c>
      <c r="E7" s="97"/>
      <c r="F7" s="97"/>
      <c r="G7" s="97"/>
      <c r="H7" s="100"/>
      <c r="I7" s="97"/>
      <c r="J7" s="97"/>
      <c r="K7" s="97">
        <v>20591.3</v>
      </c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5">
        <f>C7+D7+K7-AF16-AF25</f>
        <v>39225.299999999996</v>
      </c>
      <c r="AF7" s="95"/>
      <c r="AG7" s="98"/>
    </row>
    <row r="8" spans="1:55" s="87" customFormat="1" ht="18" customHeight="1">
      <c r="A8" s="101" t="s">
        <v>30</v>
      </c>
      <c r="B8" s="99">
        <f>SUM(E8:AB8)</f>
        <v>83118.77</v>
      </c>
      <c r="C8" s="99">
        <v>30164.00000000003</v>
      </c>
      <c r="D8" s="102">
        <v>10533.6</v>
      </c>
      <c r="E8" s="103">
        <v>3158.9</v>
      </c>
      <c r="F8" s="104">
        <v>2782.5</v>
      </c>
      <c r="G8" s="104">
        <v>5296</v>
      </c>
      <c r="H8" s="104">
        <v>5413.7</v>
      </c>
      <c r="I8" s="104">
        <v>12819.1</v>
      </c>
      <c r="J8" s="104">
        <v>6435.8</v>
      </c>
      <c r="K8" s="104">
        <v>3658.4</v>
      </c>
      <c r="L8" s="104">
        <v>3229.3</v>
      </c>
      <c r="M8" s="104">
        <v>4130.97</v>
      </c>
      <c r="N8" s="104">
        <v>9466.1</v>
      </c>
      <c r="O8" s="104">
        <v>8841.4</v>
      </c>
      <c r="P8" s="104">
        <v>9028.4</v>
      </c>
      <c r="Q8" s="104">
        <v>8858.2</v>
      </c>
      <c r="R8" s="104"/>
      <c r="S8" s="105"/>
      <c r="T8" s="105"/>
      <c r="U8" s="104"/>
      <c r="V8" s="104"/>
      <c r="W8" s="104"/>
      <c r="X8" s="104"/>
      <c r="Y8" s="104"/>
      <c r="Z8" s="104"/>
      <c r="AA8" s="104"/>
      <c r="AB8" s="104"/>
      <c r="AC8" s="106"/>
      <c r="AD8" s="106"/>
      <c r="AE8" s="107">
        <f>SUM(D8:AD8)+C8-AF9</f>
        <v>65681.97000000003</v>
      </c>
      <c r="AF8" s="108"/>
      <c r="AG8" s="109"/>
      <c r="AH8" s="110"/>
      <c r="AI8" s="110"/>
      <c r="AJ8" s="110"/>
      <c r="AK8" s="110"/>
      <c r="AL8" s="110"/>
      <c r="AM8" s="110"/>
      <c r="AN8" s="110"/>
      <c r="AO8" s="110"/>
      <c r="AP8" s="110"/>
      <c r="AQ8" s="110"/>
      <c r="AR8" s="110"/>
      <c r="AS8" s="110"/>
      <c r="AT8" s="110"/>
      <c r="AU8" s="110"/>
      <c r="AV8" s="110"/>
      <c r="AW8" s="110"/>
      <c r="AX8" s="110"/>
      <c r="AY8" s="110"/>
      <c r="AZ8" s="110"/>
      <c r="BA8" s="110"/>
      <c r="BB8" s="110"/>
      <c r="BC8" s="110"/>
    </row>
    <row r="9" spans="1:35" s="114" customFormat="1" ht="15">
      <c r="A9" s="101" t="s">
        <v>14</v>
      </c>
      <c r="B9" s="111">
        <f>B10+B15+B24+B33+B47+B52+B54+B61+B62+B71+B72+B88+B76+B81+B83+B82+B69+B89+B90+B91+B70+B40+B92</f>
        <v>123241.56021000001</v>
      </c>
      <c r="C9" s="112">
        <f aca="true" t="shared" si="0" ref="C9:AD9">C10+C15+C24+C33+C47+C52+C54+C61+C62+C71+C72+C88+C76+C81+C83+C82+C69+C89+C90+C91+C70+C40+C92</f>
        <v>20213.30000000001</v>
      </c>
      <c r="D9" s="111">
        <f t="shared" si="0"/>
        <v>146.5</v>
      </c>
      <c r="E9" s="111">
        <f t="shared" si="0"/>
        <v>1225.5</v>
      </c>
      <c r="F9" s="111">
        <f t="shared" si="0"/>
        <v>2604.8</v>
      </c>
      <c r="G9" s="111">
        <f t="shared" si="0"/>
        <v>1149.3</v>
      </c>
      <c r="H9" s="111">
        <f t="shared" si="0"/>
        <v>143</v>
      </c>
      <c r="I9" s="111">
        <f t="shared" si="0"/>
        <v>1967</v>
      </c>
      <c r="J9" s="111">
        <f t="shared" si="0"/>
        <v>2521.6</v>
      </c>
      <c r="K9" s="111">
        <f t="shared" si="0"/>
        <v>12926.4</v>
      </c>
      <c r="L9" s="111">
        <f t="shared" si="0"/>
        <v>26458.999999999996</v>
      </c>
      <c r="M9" s="111">
        <f t="shared" si="0"/>
        <v>760.6</v>
      </c>
      <c r="N9" s="111">
        <f t="shared" si="0"/>
        <v>667.7</v>
      </c>
      <c r="O9" s="111">
        <f t="shared" si="0"/>
        <v>2730</v>
      </c>
      <c r="P9" s="111">
        <f t="shared" si="0"/>
        <v>2114.7</v>
      </c>
      <c r="Q9" s="111">
        <f t="shared" si="0"/>
        <v>2718.2999999999997</v>
      </c>
      <c r="R9" s="111">
        <f t="shared" si="0"/>
        <v>0</v>
      </c>
      <c r="S9" s="111">
        <f t="shared" si="0"/>
        <v>0</v>
      </c>
      <c r="T9" s="111">
        <f t="shared" si="0"/>
        <v>0</v>
      </c>
      <c r="U9" s="111">
        <f t="shared" si="0"/>
        <v>0</v>
      </c>
      <c r="V9" s="111">
        <f t="shared" si="0"/>
        <v>0</v>
      </c>
      <c r="W9" s="111">
        <f t="shared" si="0"/>
        <v>0</v>
      </c>
      <c r="X9" s="111">
        <f t="shared" si="0"/>
        <v>0</v>
      </c>
      <c r="Y9" s="111">
        <f t="shared" si="0"/>
        <v>0</v>
      </c>
      <c r="Z9" s="111">
        <f t="shared" si="0"/>
        <v>0</v>
      </c>
      <c r="AA9" s="111">
        <f t="shared" si="0"/>
        <v>0</v>
      </c>
      <c r="AB9" s="111">
        <f t="shared" si="0"/>
        <v>0</v>
      </c>
      <c r="AC9" s="111">
        <f t="shared" si="0"/>
        <v>0</v>
      </c>
      <c r="AD9" s="111">
        <f t="shared" si="0"/>
        <v>0</v>
      </c>
      <c r="AE9" s="111"/>
      <c r="AF9" s="111">
        <f>AF10+AF15+AF24+AF33+AF47+AF52+AF54+AF61+AF62+AF71+AF72+AF76+AF88+AF81+AF83+AF82+AF69+AF89+AF90+AF91+AF70+AF40+AF92</f>
        <v>58134.399999999994</v>
      </c>
      <c r="AG9" s="111">
        <f>AG10+AG15+AG24+AG33+AG47+AG52+AG54+AG61+AG62+AG71+AG72+AG76+AG88+AG81+AG83+AG82+AG69+AG89+AG91+AG90+AG70+AG40+AG92</f>
        <v>85320.46021</v>
      </c>
      <c r="AH9" s="113"/>
      <c r="AI9" s="113"/>
    </row>
    <row r="10" spans="1:33" s="87" customFormat="1" ht="15">
      <c r="A10" s="115" t="s">
        <v>4</v>
      </c>
      <c r="B10" s="109">
        <v>12601</v>
      </c>
      <c r="C10" s="116">
        <v>606.1000000000004</v>
      </c>
      <c r="D10" s="109">
        <v>38.7</v>
      </c>
      <c r="E10" s="109">
        <v>164.7</v>
      </c>
      <c r="F10" s="109">
        <v>18.3</v>
      </c>
      <c r="G10" s="109">
        <v>70.9</v>
      </c>
      <c r="H10" s="109">
        <v>29.7</v>
      </c>
      <c r="I10" s="109">
        <v>34.8</v>
      </c>
      <c r="J10" s="117"/>
      <c r="K10" s="109">
        <v>531.6</v>
      </c>
      <c r="L10" s="109">
        <v>4509.6</v>
      </c>
      <c r="M10" s="109">
        <v>56.1</v>
      </c>
      <c r="N10" s="109">
        <v>8.5</v>
      </c>
      <c r="O10" s="109">
        <v>41</v>
      </c>
      <c r="P10" s="109">
        <v>4</v>
      </c>
      <c r="Q10" s="109">
        <v>52</v>
      </c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>
        <f aca="true" t="shared" si="1" ref="AF10:AF59">SUM(D10:AD10)</f>
        <v>5559.900000000001</v>
      </c>
      <c r="AG10" s="109">
        <f>B10+C10-AF10</f>
        <v>7647.2</v>
      </c>
    </row>
    <row r="11" spans="1:33" s="87" customFormat="1" ht="15">
      <c r="A11" s="118" t="s">
        <v>5</v>
      </c>
      <c r="B11" s="109">
        <v>12060.1</v>
      </c>
      <c r="C11" s="116">
        <v>328.10000000000036</v>
      </c>
      <c r="D11" s="109">
        <v>37</v>
      </c>
      <c r="E11" s="109">
        <v>143.9</v>
      </c>
      <c r="F11" s="109">
        <v>8.8</v>
      </c>
      <c r="G11" s="109">
        <v>37.8</v>
      </c>
      <c r="H11" s="109">
        <v>16.1</v>
      </c>
      <c r="I11" s="109">
        <v>28.3</v>
      </c>
      <c r="J11" s="109"/>
      <c r="K11" s="109">
        <v>518.4</v>
      </c>
      <c r="L11" s="109">
        <v>4342.6</v>
      </c>
      <c r="M11" s="109"/>
      <c r="N11" s="109"/>
      <c r="O11" s="109">
        <v>40</v>
      </c>
      <c r="P11" s="109"/>
      <c r="Q11" s="109">
        <v>45.8</v>
      </c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>
        <f t="shared" si="1"/>
        <v>5218.700000000001</v>
      </c>
      <c r="AG11" s="109">
        <f>B11+C11-AF11</f>
        <v>7169.5</v>
      </c>
    </row>
    <row r="12" spans="1:33" s="87" customFormat="1" ht="15">
      <c r="A12" s="118" t="s">
        <v>2</v>
      </c>
      <c r="B12" s="117">
        <v>171</v>
      </c>
      <c r="C12" s="116">
        <v>113.8</v>
      </c>
      <c r="D12" s="109"/>
      <c r="E12" s="109"/>
      <c r="F12" s="109"/>
      <c r="G12" s="109"/>
      <c r="H12" s="109">
        <v>3.4</v>
      </c>
      <c r="I12" s="109"/>
      <c r="J12" s="109"/>
      <c r="K12" s="109"/>
      <c r="L12" s="109">
        <v>167</v>
      </c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>
        <f t="shared" si="1"/>
        <v>170.4</v>
      </c>
      <c r="AG12" s="109">
        <f>B12+C12-AF12</f>
        <v>114.4</v>
      </c>
    </row>
    <row r="13" spans="1:33" s="87" customFormat="1" ht="15" hidden="1">
      <c r="A13" s="118" t="s">
        <v>16</v>
      </c>
      <c r="B13" s="109"/>
      <c r="C13" s="116">
        <v>0</v>
      </c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>
        <f t="shared" si="1"/>
        <v>0</v>
      </c>
      <c r="AG13" s="109">
        <f>B13+C13-AF13</f>
        <v>0</v>
      </c>
    </row>
    <row r="14" spans="1:33" s="87" customFormat="1" ht="15">
      <c r="A14" s="118" t="s">
        <v>23</v>
      </c>
      <c r="B14" s="109">
        <f aca="true" t="shared" si="2" ref="B14:Y14">B10-B11-B12-B13</f>
        <v>369.89999999999964</v>
      </c>
      <c r="C14" s="116">
        <f t="shared" si="2"/>
        <v>164.2</v>
      </c>
      <c r="D14" s="109">
        <f t="shared" si="2"/>
        <v>1.7000000000000028</v>
      </c>
      <c r="E14" s="109">
        <f t="shared" si="2"/>
        <v>20.799999999999983</v>
      </c>
      <c r="F14" s="109">
        <f t="shared" si="2"/>
        <v>9.5</v>
      </c>
      <c r="G14" s="109">
        <f t="shared" si="2"/>
        <v>33.10000000000001</v>
      </c>
      <c r="H14" s="109">
        <f t="shared" si="2"/>
        <v>10.199999999999998</v>
      </c>
      <c r="I14" s="109">
        <f t="shared" si="2"/>
        <v>6.4999999999999964</v>
      </c>
      <c r="J14" s="109">
        <f t="shared" si="2"/>
        <v>0</v>
      </c>
      <c r="K14" s="109">
        <f t="shared" si="2"/>
        <v>13.200000000000045</v>
      </c>
      <c r="L14" s="109">
        <f t="shared" si="2"/>
        <v>0</v>
      </c>
      <c r="M14" s="109">
        <f t="shared" si="2"/>
        <v>56.1</v>
      </c>
      <c r="N14" s="109">
        <f t="shared" si="2"/>
        <v>8.5</v>
      </c>
      <c r="O14" s="109">
        <f t="shared" si="2"/>
        <v>1</v>
      </c>
      <c r="P14" s="109">
        <f t="shared" si="2"/>
        <v>4</v>
      </c>
      <c r="Q14" s="109">
        <f t="shared" si="2"/>
        <v>6.200000000000003</v>
      </c>
      <c r="R14" s="109">
        <f t="shared" si="2"/>
        <v>0</v>
      </c>
      <c r="S14" s="109">
        <f t="shared" si="2"/>
        <v>0</v>
      </c>
      <c r="T14" s="109">
        <f t="shared" si="2"/>
        <v>0</v>
      </c>
      <c r="U14" s="109">
        <f t="shared" si="2"/>
        <v>0</v>
      </c>
      <c r="V14" s="109">
        <f t="shared" si="2"/>
        <v>0</v>
      </c>
      <c r="W14" s="109">
        <f t="shared" si="2"/>
        <v>0</v>
      </c>
      <c r="X14" s="109">
        <f t="shared" si="2"/>
        <v>0</v>
      </c>
      <c r="Y14" s="109">
        <f t="shared" si="2"/>
        <v>0</v>
      </c>
      <c r="Z14" s="109"/>
      <c r="AA14" s="109"/>
      <c r="AB14" s="109"/>
      <c r="AC14" s="109"/>
      <c r="AD14" s="109"/>
      <c r="AE14" s="109"/>
      <c r="AF14" s="109">
        <f t="shared" si="1"/>
        <v>170.80000000000007</v>
      </c>
      <c r="AG14" s="109">
        <f>AG10-AG11-AG12-AG13</f>
        <v>363.29999999999984</v>
      </c>
    </row>
    <row r="15" spans="1:35" s="87" customFormat="1" ht="15" customHeight="1">
      <c r="A15" s="115" t="s">
        <v>6</v>
      </c>
      <c r="B15" s="109">
        <v>56382.229810000004</v>
      </c>
      <c r="C15" s="116">
        <v>6488.800000000003</v>
      </c>
      <c r="D15" s="119"/>
      <c r="E15" s="119">
        <v>151.3</v>
      </c>
      <c r="F15" s="109">
        <v>0.7</v>
      </c>
      <c r="G15" s="109">
        <v>306.3</v>
      </c>
      <c r="H15" s="109"/>
      <c r="I15" s="109">
        <v>593.7</v>
      </c>
      <c r="J15" s="109">
        <v>110</v>
      </c>
      <c r="K15" s="109">
        <f>1396.3+9132.6</f>
        <v>10528.9</v>
      </c>
      <c r="L15" s="109">
        <v>10728.8</v>
      </c>
      <c r="M15" s="109">
        <v>272.5</v>
      </c>
      <c r="N15" s="109">
        <v>616.2</v>
      </c>
      <c r="O15" s="109">
        <v>58.8</v>
      </c>
      <c r="P15" s="109">
        <v>521.9</v>
      </c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>
        <f t="shared" si="1"/>
        <v>23889.1</v>
      </c>
      <c r="AG15" s="109">
        <f aca="true" t="shared" si="3" ref="AG15:AG31">B15+C15-AF15</f>
        <v>38981.92981000001</v>
      </c>
      <c r="AI15" s="120"/>
    </row>
    <row r="16" spans="1:34" s="126" customFormat="1" ht="15" customHeight="1">
      <c r="A16" s="121" t="s">
        <v>38</v>
      </c>
      <c r="B16" s="122">
        <v>19179.6</v>
      </c>
      <c r="C16" s="123">
        <v>21.69999999999709</v>
      </c>
      <c r="D16" s="124"/>
      <c r="E16" s="124"/>
      <c r="F16" s="122"/>
      <c r="G16" s="122"/>
      <c r="H16" s="122"/>
      <c r="I16" s="122"/>
      <c r="J16" s="122"/>
      <c r="K16" s="122">
        <v>9132.6</v>
      </c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  <c r="AF16" s="124">
        <f t="shared" si="1"/>
        <v>9132.6</v>
      </c>
      <c r="AG16" s="124">
        <f t="shared" si="3"/>
        <v>10068.699999999995</v>
      </c>
      <c r="AH16" s="125"/>
    </row>
    <row r="17" spans="1:34" s="87" customFormat="1" ht="15">
      <c r="A17" s="118" t="s">
        <v>5</v>
      </c>
      <c r="B17" s="109">
        <v>39328.63</v>
      </c>
      <c r="C17" s="116">
        <v>871.9000000000015</v>
      </c>
      <c r="D17" s="109"/>
      <c r="E17" s="109"/>
      <c r="F17" s="109"/>
      <c r="G17" s="109"/>
      <c r="H17" s="109"/>
      <c r="I17" s="109"/>
      <c r="J17" s="109"/>
      <c r="K17" s="109">
        <f>963.8+9132.6</f>
        <v>10096.4</v>
      </c>
      <c r="L17" s="109">
        <v>10728.8</v>
      </c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>
        <f t="shared" si="1"/>
        <v>20825.199999999997</v>
      </c>
      <c r="AG17" s="109">
        <f t="shared" si="3"/>
        <v>19375.33</v>
      </c>
      <c r="AH17" s="110"/>
    </row>
    <row r="18" spans="1:33" s="87" customFormat="1" ht="15">
      <c r="A18" s="118" t="s">
        <v>3</v>
      </c>
      <c r="B18" s="109"/>
      <c r="C18" s="116">
        <v>0</v>
      </c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109">
        <f t="shared" si="1"/>
        <v>0</v>
      </c>
      <c r="AG18" s="109">
        <f t="shared" si="3"/>
        <v>0</v>
      </c>
    </row>
    <row r="19" spans="1:33" s="87" customFormat="1" ht="15">
      <c r="A19" s="118" t="s">
        <v>1</v>
      </c>
      <c r="B19" s="109">
        <v>4039.9</v>
      </c>
      <c r="C19" s="116">
        <v>2791.5</v>
      </c>
      <c r="D19" s="109"/>
      <c r="E19" s="109">
        <v>85.8</v>
      </c>
      <c r="F19" s="109"/>
      <c r="G19" s="109">
        <v>204.3</v>
      </c>
      <c r="H19" s="109"/>
      <c r="I19" s="109">
        <v>521.3</v>
      </c>
      <c r="J19" s="109">
        <v>87.9</v>
      </c>
      <c r="K19" s="109">
        <v>293.2</v>
      </c>
      <c r="L19" s="109"/>
      <c r="M19" s="109">
        <v>244.8</v>
      </c>
      <c r="N19" s="109">
        <v>269.9</v>
      </c>
      <c r="O19" s="109">
        <v>23.7</v>
      </c>
      <c r="P19" s="109">
        <v>37.8</v>
      </c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  <c r="AF19" s="109">
        <f t="shared" si="1"/>
        <v>1768.6999999999998</v>
      </c>
      <c r="AG19" s="109">
        <f t="shared" si="3"/>
        <v>5062.7</v>
      </c>
    </row>
    <row r="20" spans="1:33" s="87" customFormat="1" ht="15">
      <c r="A20" s="118" t="s">
        <v>2</v>
      </c>
      <c r="B20" s="109">
        <v>2976.605</v>
      </c>
      <c r="C20" s="116">
        <v>2703.5</v>
      </c>
      <c r="D20" s="109"/>
      <c r="E20" s="109">
        <v>64.1</v>
      </c>
      <c r="F20" s="109">
        <v>0.7</v>
      </c>
      <c r="G20" s="109">
        <v>97.8</v>
      </c>
      <c r="H20" s="109"/>
      <c r="I20" s="109">
        <v>43.1</v>
      </c>
      <c r="J20" s="109">
        <v>15</v>
      </c>
      <c r="K20" s="109">
        <v>139.2</v>
      </c>
      <c r="L20" s="109"/>
      <c r="M20" s="109">
        <v>27.2</v>
      </c>
      <c r="N20" s="109"/>
      <c r="O20" s="109">
        <v>31.6</v>
      </c>
      <c r="P20" s="109">
        <v>324.4</v>
      </c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109">
        <f t="shared" si="1"/>
        <v>743.0999999999999</v>
      </c>
      <c r="AG20" s="109">
        <f t="shared" si="3"/>
        <v>4937.004999999999</v>
      </c>
    </row>
    <row r="21" spans="1:33" s="87" customFormat="1" ht="15">
      <c r="A21" s="118" t="s">
        <v>16</v>
      </c>
      <c r="B21" s="109">
        <v>1154</v>
      </c>
      <c r="C21" s="116">
        <v>38.700000000000045</v>
      </c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>
        <v>346.3</v>
      </c>
      <c r="O21" s="109"/>
      <c r="P21" s="109">
        <v>159.7</v>
      </c>
      <c r="Q21" s="109"/>
      <c r="R21" s="109"/>
      <c r="S21" s="109"/>
      <c r="T21" s="109"/>
      <c r="U21" s="109"/>
      <c r="V21" s="109"/>
      <c r="W21" s="109"/>
      <c r="X21" s="109"/>
      <c r="Y21" s="109"/>
      <c r="Z21" s="109"/>
      <c r="AA21" s="109"/>
      <c r="AB21" s="109"/>
      <c r="AC21" s="109"/>
      <c r="AD21" s="109"/>
      <c r="AE21" s="109"/>
      <c r="AF21" s="109">
        <f t="shared" si="1"/>
        <v>506</v>
      </c>
      <c r="AG21" s="109">
        <f t="shared" si="3"/>
        <v>686.7</v>
      </c>
    </row>
    <row r="22" spans="1:33" s="87" customFormat="1" ht="15" hidden="1">
      <c r="A22" s="118" t="s">
        <v>15</v>
      </c>
      <c r="B22" s="119"/>
      <c r="C22" s="116">
        <v>0</v>
      </c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B22" s="109"/>
      <c r="AC22" s="109"/>
      <c r="AD22" s="109"/>
      <c r="AE22" s="109"/>
      <c r="AF22" s="109">
        <f t="shared" si="1"/>
        <v>0</v>
      </c>
      <c r="AG22" s="109">
        <f t="shared" si="3"/>
        <v>0</v>
      </c>
    </row>
    <row r="23" spans="1:33" s="87" customFormat="1" ht="15">
      <c r="A23" s="118" t="s">
        <v>23</v>
      </c>
      <c r="B23" s="109">
        <f aca="true" t="shared" si="4" ref="B23:AD23">B15-B17-B18-B19-B20-B21-B22</f>
        <v>8883.094810000008</v>
      </c>
      <c r="C23" s="116">
        <f t="shared" si="4"/>
        <v>83.20000000000141</v>
      </c>
      <c r="D23" s="109">
        <f t="shared" si="4"/>
        <v>0</v>
      </c>
      <c r="E23" s="109">
        <f t="shared" si="4"/>
        <v>1.40000000000002</v>
      </c>
      <c r="F23" s="109">
        <f t="shared" si="4"/>
        <v>0</v>
      </c>
      <c r="G23" s="109">
        <f t="shared" si="4"/>
        <v>4.200000000000003</v>
      </c>
      <c r="H23" s="109">
        <f t="shared" si="4"/>
        <v>0</v>
      </c>
      <c r="I23" s="109">
        <f t="shared" si="4"/>
        <v>29.30000000000009</v>
      </c>
      <c r="J23" s="109">
        <f t="shared" si="4"/>
        <v>7.099999999999994</v>
      </c>
      <c r="K23" s="109">
        <f t="shared" si="4"/>
        <v>0.10000000000002274</v>
      </c>
      <c r="L23" s="109">
        <f t="shared" si="4"/>
        <v>0</v>
      </c>
      <c r="M23" s="109">
        <f t="shared" si="4"/>
        <v>0.49999999999998934</v>
      </c>
      <c r="N23" s="109">
        <f t="shared" si="4"/>
        <v>5.684341886080802E-14</v>
      </c>
      <c r="O23" s="109">
        <f t="shared" si="4"/>
        <v>3.499999999999993</v>
      </c>
      <c r="P23" s="109">
        <f t="shared" si="4"/>
        <v>0</v>
      </c>
      <c r="Q23" s="109">
        <f t="shared" si="4"/>
        <v>0</v>
      </c>
      <c r="R23" s="109">
        <f t="shared" si="4"/>
        <v>0</v>
      </c>
      <c r="S23" s="109">
        <f t="shared" si="4"/>
        <v>0</v>
      </c>
      <c r="T23" s="109">
        <f t="shared" si="4"/>
        <v>0</v>
      </c>
      <c r="U23" s="109">
        <f t="shared" si="4"/>
        <v>0</v>
      </c>
      <c r="V23" s="109">
        <f t="shared" si="4"/>
        <v>0</v>
      </c>
      <c r="W23" s="109">
        <f t="shared" si="4"/>
        <v>0</v>
      </c>
      <c r="X23" s="109">
        <f t="shared" si="4"/>
        <v>0</v>
      </c>
      <c r="Y23" s="109">
        <f t="shared" si="4"/>
        <v>0</v>
      </c>
      <c r="Z23" s="109">
        <f t="shared" si="4"/>
        <v>0</v>
      </c>
      <c r="AA23" s="109">
        <f t="shared" si="4"/>
        <v>0</v>
      </c>
      <c r="AB23" s="109">
        <f t="shared" si="4"/>
        <v>0</v>
      </c>
      <c r="AC23" s="109">
        <f t="shared" si="4"/>
        <v>0</v>
      </c>
      <c r="AD23" s="109">
        <f t="shared" si="4"/>
        <v>0</v>
      </c>
      <c r="AE23" s="109"/>
      <c r="AF23" s="109">
        <f t="shared" si="1"/>
        <v>46.10000000000017</v>
      </c>
      <c r="AG23" s="109">
        <f t="shared" si="3"/>
        <v>8920.194810000008</v>
      </c>
    </row>
    <row r="24" spans="1:35" s="87" customFormat="1" ht="15" customHeight="1">
      <c r="A24" s="115" t="s">
        <v>7</v>
      </c>
      <c r="B24" s="109">
        <v>33467.7</v>
      </c>
      <c r="C24" s="116">
        <v>7185.799999999999</v>
      </c>
      <c r="D24" s="109">
        <v>107.8</v>
      </c>
      <c r="E24" s="109">
        <v>99.9</v>
      </c>
      <c r="F24" s="109">
        <f>131.7+68</f>
        <v>199.7</v>
      </c>
      <c r="G24" s="109"/>
      <c r="H24" s="109"/>
      <c r="I24" s="109"/>
      <c r="J24" s="109">
        <f>568.1+670.4</f>
        <v>1238.5</v>
      </c>
      <c r="K24" s="109">
        <f>12.4+333.8</f>
        <v>346.2</v>
      </c>
      <c r="L24" s="109">
        <v>10669.5</v>
      </c>
      <c r="M24" s="109"/>
      <c r="N24" s="109"/>
      <c r="O24" s="109">
        <f>2109.9+517.6</f>
        <v>2627.5</v>
      </c>
      <c r="P24" s="109">
        <f>995+20</f>
        <v>1015</v>
      </c>
      <c r="Q24" s="109"/>
      <c r="R24" s="109"/>
      <c r="S24" s="109"/>
      <c r="T24" s="109"/>
      <c r="U24" s="109"/>
      <c r="V24" s="109"/>
      <c r="W24" s="109"/>
      <c r="X24" s="109"/>
      <c r="Y24" s="109"/>
      <c r="Z24" s="109"/>
      <c r="AA24" s="109"/>
      <c r="AB24" s="109"/>
      <c r="AC24" s="109"/>
      <c r="AD24" s="109"/>
      <c r="AE24" s="109"/>
      <c r="AF24" s="109">
        <f t="shared" si="1"/>
        <v>16304.1</v>
      </c>
      <c r="AG24" s="109">
        <f t="shared" si="3"/>
        <v>24349.4</v>
      </c>
      <c r="AI24" s="120"/>
    </row>
    <row r="25" spans="1:34" s="126" customFormat="1" ht="15" customHeight="1">
      <c r="A25" s="121" t="s">
        <v>39</v>
      </c>
      <c r="B25" s="122">
        <v>22003</v>
      </c>
      <c r="C25" s="123">
        <v>2681.399999999998</v>
      </c>
      <c r="D25" s="122">
        <v>107.8</v>
      </c>
      <c r="E25" s="122">
        <v>99.9</v>
      </c>
      <c r="F25" s="122">
        <v>68</v>
      </c>
      <c r="G25" s="122"/>
      <c r="H25" s="122"/>
      <c r="I25" s="122"/>
      <c r="J25" s="122">
        <v>670.4</v>
      </c>
      <c r="K25" s="122">
        <v>333.8</v>
      </c>
      <c r="L25" s="122">
        <v>10669.5</v>
      </c>
      <c r="M25" s="122"/>
      <c r="N25" s="122"/>
      <c r="O25" s="122">
        <v>517.6</v>
      </c>
      <c r="P25" s="122">
        <v>20</v>
      </c>
      <c r="Q25" s="122"/>
      <c r="R25" s="122"/>
      <c r="S25" s="122"/>
      <c r="T25" s="122"/>
      <c r="U25" s="122"/>
      <c r="V25" s="122"/>
      <c r="W25" s="122"/>
      <c r="X25" s="122"/>
      <c r="Y25" s="122"/>
      <c r="Z25" s="122"/>
      <c r="AA25" s="122"/>
      <c r="AB25" s="122"/>
      <c r="AC25" s="122"/>
      <c r="AD25" s="122"/>
      <c r="AE25" s="122"/>
      <c r="AF25" s="124">
        <f t="shared" si="1"/>
        <v>12487</v>
      </c>
      <c r="AG25" s="124">
        <f t="shared" si="3"/>
        <v>12197.399999999998</v>
      </c>
      <c r="AH25" s="125"/>
    </row>
    <row r="26" spans="1:34" s="87" customFormat="1" ht="15" hidden="1">
      <c r="A26" s="118" t="s">
        <v>5</v>
      </c>
      <c r="B26" s="109"/>
      <c r="C26" s="116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>
        <f t="shared" si="1"/>
        <v>0</v>
      </c>
      <c r="AG26" s="109">
        <f t="shared" si="3"/>
        <v>0</v>
      </c>
      <c r="AH26" s="110"/>
    </row>
    <row r="27" spans="1:33" s="87" customFormat="1" ht="15" hidden="1">
      <c r="A27" s="118" t="s">
        <v>3</v>
      </c>
      <c r="B27" s="109"/>
      <c r="C27" s="116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>
        <f t="shared" si="1"/>
        <v>0</v>
      </c>
      <c r="AG27" s="109">
        <f t="shared" si="3"/>
        <v>0</v>
      </c>
    </row>
    <row r="28" spans="1:33" s="87" customFormat="1" ht="15" hidden="1">
      <c r="A28" s="118" t="s">
        <v>1</v>
      </c>
      <c r="B28" s="109"/>
      <c r="C28" s="116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  <c r="AF28" s="109">
        <f t="shared" si="1"/>
        <v>0</v>
      </c>
      <c r="AG28" s="109">
        <f t="shared" si="3"/>
        <v>0</v>
      </c>
    </row>
    <row r="29" spans="1:33" s="87" customFormat="1" ht="15" hidden="1">
      <c r="A29" s="118" t="s">
        <v>2</v>
      </c>
      <c r="B29" s="109"/>
      <c r="C29" s="116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>
        <f t="shared" si="1"/>
        <v>0</v>
      </c>
      <c r="AG29" s="109">
        <f t="shared" si="3"/>
        <v>0</v>
      </c>
    </row>
    <row r="30" spans="1:33" s="87" customFormat="1" ht="15" hidden="1">
      <c r="A30" s="118" t="s">
        <v>16</v>
      </c>
      <c r="B30" s="109"/>
      <c r="C30" s="116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09">
        <f t="shared" si="1"/>
        <v>0</v>
      </c>
      <c r="AG30" s="109">
        <f t="shared" si="3"/>
        <v>0</v>
      </c>
    </row>
    <row r="31" spans="1:33" s="87" customFormat="1" ht="15" hidden="1">
      <c r="A31" s="118" t="s">
        <v>15</v>
      </c>
      <c r="B31" s="109"/>
      <c r="C31" s="116">
        <v>0</v>
      </c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09"/>
      <c r="AA31" s="109"/>
      <c r="AB31" s="109"/>
      <c r="AC31" s="109"/>
      <c r="AD31" s="109"/>
      <c r="AE31" s="109"/>
      <c r="AF31" s="109">
        <f t="shared" si="1"/>
        <v>0</v>
      </c>
      <c r="AG31" s="109">
        <f t="shared" si="3"/>
        <v>0</v>
      </c>
    </row>
    <row r="32" spans="1:33" s="87" customFormat="1" ht="15">
      <c r="A32" s="118" t="s">
        <v>23</v>
      </c>
      <c r="B32" s="109">
        <f>B24</f>
        <v>33467.7</v>
      </c>
      <c r="C32" s="116">
        <f aca="true" t="shared" si="5" ref="C32:AD32">C24-C26-C27-C28-C29-C30-C31</f>
        <v>7185.799999999999</v>
      </c>
      <c r="D32" s="109">
        <f t="shared" si="5"/>
        <v>107.8</v>
      </c>
      <c r="E32" s="109">
        <f t="shared" si="5"/>
        <v>99.9</v>
      </c>
      <c r="F32" s="109">
        <f t="shared" si="5"/>
        <v>199.7</v>
      </c>
      <c r="G32" s="109">
        <f t="shared" si="5"/>
        <v>0</v>
      </c>
      <c r="H32" s="109">
        <f t="shared" si="5"/>
        <v>0</v>
      </c>
      <c r="I32" s="109">
        <f t="shared" si="5"/>
        <v>0</v>
      </c>
      <c r="J32" s="109">
        <f t="shared" si="5"/>
        <v>1238.5</v>
      </c>
      <c r="K32" s="109">
        <f t="shared" si="5"/>
        <v>346.2</v>
      </c>
      <c r="L32" s="109">
        <f t="shared" si="5"/>
        <v>10669.5</v>
      </c>
      <c r="M32" s="109">
        <f t="shared" si="5"/>
        <v>0</v>
      </c>
      <c r="N32" s="109">
        <f t="shared" si="5"/>
        <v>0</v>
      </c>
      <c r="O32" s="109">
        <f t="shared" si="5"/>
        <v>2627.5</v>
      </c>
      <c r="P32" s="109">
        <f t="shared" si="5"/>
        <v>1015</v>
      </c>
      <c r="Q32" s="109">
        <f t="shared" si="5"/>
        <v>0</v>
      </c>
      <c r="R32" s="109">
        <f t="shared" si="5"/>
        <v>0</v>
      </c>
      <c r="S32" s="109">
        <f t="shared" si="5"/>
        <v>0</v>
      </c>
      <c r="T32" s="109">
        <f t="shared" si="5"/>
        <v>0</v>
      </c>
      <c r="U32" s="109">
        <f t="shared" si="5"/>
        <v>0</v>
      </c>
      <c r="V32" s="109">
        <f t="shared" si="5"/>
        <v>0</v>
      </c>
      <c r="W32" s="109">
        <f t="shared" si="5"/>
        <v>0</v>
      </c>
      <c r="X32" s="109">
        <f t="shared" si="5"/>
        <v>0</v>
      </c>
      <c r="Y32" s="109">
        <f t="shared" si="5"/>
        <v>0</v>
      </c>
      <c r="Z32" s="109">
        <f t="shared" si="5"/>
        <v>0</v>
      </c>
      <c r="AA32" s="109">
        <f t="shared" si="5"/>
        <v>0</v>
      </c>
      <c r="AB32" s="109">
        <f t="shared" si="5"/>
        <v>0</v>
      </c>
      <c r="AC32" s="109">
        <f t="shared" si="5"/>
        <v>0</v>
      </c>
      <c r="AD32" s="109">
        <f t="shared" si="5"/>
        <v>0</v>
      </c>
      <c r="AE32" s="109"/>
      <c r="AF32" s="109">
        <f t="shared" si="1"/>
        <v>16304.1</v>
      </c>
      <c r="AG32" s="109">
        <f>AG24</f>
        <v>24349.4</v>
      </c>
    </row>
    <row r="33" spans="1:33" s="87" customFormat="1" ht="15" customHeight="1">
      <c r="A33" s="115" t="s">
        <v>8</v>
      </c>
      <c r="B33" s="109">
        <v>354.5</v>
      </c>
      <c r="C33" s="116">
        <v>111.19999999999999</v>
      </c>
      <c r="D33" s="109"/>
      <c r="E33" s="109"/>
      <c r="F33" s="109"/>
      <c r="G33" s="109"/>
      <c r="H33" s="109"/>
      <c r="I33" s="109">
        <v>43.2</v>
      </c>
      <c r="J33" s="109"/>
      <c r="K33" s="109">
        <v>40.5</v>
      </c>
      <c r="L33" s="109"/>
      <c r="M33" s="109">
        <v>47.6</v>
      </c>
      <c r="N33" s="109"/>
      <c r="O33" s="109"/>
      <c r="P33" s="109">
        <v>13</v>
      </c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  <c r="AF33" s="109">
        <f t="shared" si="1"/>
        <v>144.3</v>
      </c>
      <c r="AG33" s="109">
        <f aca="true" t="shared" si="6" ref="AG33:AG38">B33+C33-AF33</f>
        <v>321.4</v>
      </c>
    </row>
    <row r="34" spans="1:33" s="87" customFormat="1" ht="15">
      <c r="A34" s="118" t="s">
        <v>5</v>
      </c>
      <c r="B34" s="109">
        <v>238.9</v>
      </c>
      <c r="C34" s="116">
        <v>13.499999999999972</v>
      </c>
      <c r="D34" s="109"/>
      <c r="E34" s="109"/>
      <c r="F34" s="109"/>
      <c r="G34" s="109"/>
      <c r="H34" s="109"/>
      <c r="I34" s="109"/>
      <c r="J34" s="109"/>
      <c r="K34" s="109">
        <v>40.5</v>
      </c>
      <c r="L34" s="109"/>
      <c r="M34" s="109">
        <v>47.3</v>
      </c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  <c r="Z34" s="109"/>
      <c r="AA34" s="109"/>
      <c r="AB34" s="109"/>
      <c r="AC34" s="109"/>
      <c r="AD34" s="109"/>
      <c r="AE34" s="109"/>
      <c r="AF34" s="109">
        <f t="shared" si="1"/>
        <v>87.8</v>
      </c>
      <c r="AG34" s="109">
        <f t="shared" si="6"/>
        <v>164.59999999999997</v>
      </c>
    </row>
    <row r="35" spans="1:33" s="87" customFormat="1" ht="15" hidden="1">
      <c r="A35" s="118" t="s">
        <v>1</v>
      </c>
      <c r="B35" s="109"/>
      <c r="C35" s="116">
        <v>0</v>
      </c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09"/>
      <c r="AE35" s="109"/>
      <c r="AF35" s="109">
        <f t="shared" si="1"/>
        <v>0</v>
      </c>
      <c r="AG35" s="109">
        <f t="shared" si="6"/>
        <v>0</v>
      </c>
    </row>
    <row r="36" spans="1:33" s="87" customFormat="1" ht="15">
      <c r="A36" s="118" t="s">
        <v>2</v>
      </c>
      <c r="B36" s="119">
        <v>110.5</v>
      </c>
      <c r="C36" s="116">
        <v>92.3</v>
      </c>
      <c r="D36" s="109"/>
      <c r="E36" s="109"/>
      <c r="F36" s="109"/>
      <c r="G36" s="109"/>
      <c r="H36" s="109"/>
      <c r="I36" s="109">
        <v>43.2</v>
      </c>
      <c r="J36" s="109"/>
      <c r="K36" s="109"/>
      <c r="L36" s="109"/>
      <c r="M36" s="109"/>
      <c r="N36" s="109"/>
      <c r="O36" s="109"/>
      <c r="P36" s="109">
        <v>13</v>
      </c>
      <c r="Q36" s="109"/>
      <c r="R36" s="109"/>
      <c r="S36" s="109"/>
      <c r="T36" s="109"/>
      <c r="U36" s="109"/>
      <c r="V36" s="109"/>
      <c r="W36" s="109"/>
      <c r="X36" s="109"/>
      <c r="Y36" s="109"/>
      <c r="Z36" s="109"/>
      <c r="AA36" s="109"/>
      <c r="AB36" s="109"/>
      <c r="AC36" s="109"/>
      <c r="AD36" s="109"/>
      <c r="AE36" s="109"/>
      <c r="AF36" s="109">
        <f t="shared" si="1"/>
        <v>56.2</v>
      </c>
      <c r="AG36" s="109">
        <f t="shared" si="6"/>
        <v>146.60000000000002</v>
      </c>
    </row>
    <row r="37" spans="1:33" s="87" customFormat="1" ht="15">
      <c r="A37" s="118" t="s">
        <v>16</v>
      </c>
      <c r="B37" s="109">
        <v>0</v>
      </c>
      <c r="C37" s="116">
        <v>0</v>
      </c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109"/>
      <c r="Y37" s="109"/>
      <c r="Z37" s="109"/>
      <c r="AA37" s="109"/>
      <c r="AB37" s="109"/>
      <c r="AC37" s="109"/>
      <c r="AD37" s="109"/>
      <c r="AE37" s="109"/>
      <c r="AF37" s="109">
        <f t="shared" si="1"/>
        <v>0</v>
      </c>
      <c r="AG37" s="109">
        <f t="shared" si="6"/>
        <v>0</v>
      </c>
    </row>
    <row r="38" spans="1:33" s="87" customFormat="1" ht="15" hidden="1">
      <c r="A38" s="118" t="s">
        <v>15</v>
      </c>
      <c r="B38" s="109"/>
      <c r="C38" s="116">
        <v>0</v>
      </c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  <c r="Z38" s="109"/>
      <c r="AA38" s="109"/>
      <c r="AB38" s="109"/>
      <c r="AC38" s="109"/>
      <c r="AD38" s="109"/>
      <c r="AE38" s="109"/>
      <c r="AF38" s="109">
        <f t="shared" si="1"/>
        <v>0</v>
      </c>
      <c r="AG38" s="109">
        <f t="shared" si="6"/>
        <v>0</v>
      </c>
    </row>
    <row r="39" spans="1:33" s="87" customFormat="1" ht="15">
      <c r="A39" s="118" t="s">
        <v>23</v>
      </c>
      <c r="B39" s="109">
        <f aca="true" t="shared" si="7" ref="B39:AD39">B33-B34-B36-B38-B37-B35</f>
        <v>5.099999999999994</v>
      </c>
      <c r="C39" s="116">
        <f t="shared" si="7"/>
        <v>5.40000000000002</v>
      </c>
      <c r="D39" s="109">
        <f t="shared" si="7"/>
        <v>0</v>
      </c>
      <c r="E39" s="109">
        <f t="shared" si="7"/>
        <v>0</v>
      </c>
      <c r="F39" s="109">
        <f t="shared" si="7"/>
        <v>0</v>
      </c>
      <c r="G39" s="109">
        <f t="shared" si="7"/>
        <v>0</v>
      </c>
      <c r="H39" s="109">
        <f t="shared" si="7"/>
        <v>0</v>
      </c>
      <c r="I39" s="109">
        <f t="shared" si="7"/>
        <v>0</v>
      </c>
      <c r="J39" s="109">
        <f t="shared" si="7"/>
        <v>0</v>
      </c>
      <c r="K39" s="109">
        <f t="shared" si="7"/>
        <v>0</v>
      </c>
      <c r="L39" s="109">
        <f t="shared" si="7"/>
        <v>0</v>
      </c>
      <c r="M39" s="109">
        <f t="shared" si="7"/>
        <v>0.30000000000000426</v>
      </c>
      <c r="N39" s="109">
        <f t="shared" si="7"/>
        <v>0</v>
      </c>
      <c r="O39" s="109">
        <f t="shared" si="7"/>
        <v>0</v>
      </c>
      <c r="P39" s="109">
        <f t="shared" si="7"/>
        <v>0</v>
      </c>
      <c r="Q39" s="109">
        <f t="shared" si="7"/>
        <v>0</v>
      </c>
      <c r="R39" s="109">
        <f t="shared" si="7"/>
        <v>0</v>
      </c>
      <c r="S39" s="109">
        <f t="shared" si="7"/>
        <v>0</v>
      </c>
      <c r="T39" s="109">
        <f t="shared" si="7"/>
        <v>0</v>
      </c>
      <c r="U39" s="109">
        <f t="shared" si="7"/>
        <v>0</v>
      </c>
      <c r="V39" s="109">
        <f t="shared" si="7"/>
        <v>0</v>
      </c>
      <c r="W39" s="109">
        <f t="shared" si="7"/>
        <v>0</v>
      </c>
      <c r="X39" s="109">
        <f t="shared" si="7"/>
        <v>0</v>
      </c>
      <c r="Y39" s="109">
        <f t="shared" si="7"/>
        <v>0</v>
      </c>
      <c r="Z39" s="109">
        <f t="shared" si="7"/>
        <v>0</v>
      </c>
      <c r="AA39" s="109">
        <f t="shared" si="7"/>
        <v>0</v>
      </c>
      <c r="AB39" s="109">
        <f t="shared" si="7"/>
        <v>0</v>
      </c>
      <c r="AC39" s="109">
        <f t="shared" si="7"/>
        <v>0</v>
      </c>
      <c r="AD39" s="109">
        <f t="shared" si="7"/>
        <v>0</v>
      </c>
      <c r="AE39" s="109"/>
      <c r="AF39" s="109">
        <f t="shared" si="1"/>
        <v>0.30000000000000426</v>
      </c>
      <c r="AG39" s="109">
        <f>AG33-AG34-AG36-AG38-AG35-AG37</f>
        <v>10.199999999999989</v>
      </c>
    </row>
    <row r="40" spans="1:33" s="87" customFormat="1" ht="15" customHeight="1">
      <c r="A40" s="115" t="s">
        <v>29</v>
      </c>
      <c r="B40" s="109">
        <v>982.3</v>
      </c>
      <c r="C40" s="116">
        <v>182.39999999999998</v>
      </c>
      <c r="D40" s="109"/>
      <c r="E40" s="109"/>
      <c r="F40" s="109"/>
      <c r="G40" s="109"/>
      <c r="H40" s="109">
        <v>52.3</v>
      </c>
      <c r="I40" s="109"/>
      <c r="J40" s="109"/>
      <c r="K40" s="109"/>
      <c r="L40" s="109"/>
      <c r="M40" s="109">
        <v>349.2</v>
      </c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  <c r="Z40" s="109"/>
      <c r="AA40" s="109"/>
      <c r="AB40" s="109"/>
      <c r="AC40" s="109"/>
      <c r="AD40" s="109"/>
      <c r="AE40" s="109"/>
      <c r="AF40" s="109">
        <f t="shared" si="1"/>
        <v>401.5</v>
      </c>
      <c r="AG40" s="109">
        <f aca="true" t="shared" si="8" ref="AG40:AG45">B40+C40-AF40</f>
        <v>763.1999999999998</v>
      </c>
    </row>
    <row r="41" spans="1:34" s="87" customFormat="1" ht="15">
      <c r="A41" s="118" t="s">
        <v>5</v>
      </c>
      <c r="B41" s="109">
        <v>834.5</v>
      </c>
      <c r="C41" s="116">
        <v>45.60000000000002</v>
      </c>
      <c r="D41" s="109"/>
      <c r="E41" s="109"/>
      <c r="F41" s="109"/>
      <c r="G41" s="109"/>
      <c r="H41" s="109"/>
      <c r="I41" s="109"/>
      <c r="J41" s="109"/>
      <c r="K41" s="109"/>
      <c r="L41" s="109"/>
      <c r="M41" s="109">
        <v>334.1</v>
      </c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109"/>
      <c r="AA41" s="109"/>
      <c r="AB41" s="109"/>
      <c r="AC41" s="109"/>
      <c r="AD41" s="109"/>
      <c r="AE41" s="109"/>
      <c r="AF41" s="109">
        <f t="shared" si="1"/>
        <v>334.1</v>
      </c>
      <c r="AG41" s="109">
        <f t="shared" si="8"/>
        <v>546</v>
      </c>
      <c r="AH41" s="110"/>
    </row>
    <row r="42" spans="1:33" s="87" customFormat="1" ht="15">
      <c r="A42" s="118" t="s">
        <v>3</v>
      </c>
      <c r="B42" s="109"/>
      <c r="C42" s="116">
        <v>0</v>
      </c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09"/>
      <c r="Z42" s="109"/>
      <c r="AA42" s="109"/>
      <c r="AB42" s="109"/>
      <c r="AC42" s="109"/>
      <c r="AD42" s="109"/>
      <c r="AE42" s="109"/>
      <c r="AF42" s="109">
        <f t="shared" si="1"/>
        <v>0</v>
      </c>
      <c r="AG42" s="109">
        <f t="shared" si="8"/>
        <v>0</v>
      </c>
    </row>
    <row r="43" spans="1:33" s="87" customFormat="1" ht="15">
      <c r="A43" s="118" t="s">
        <v>1</v>
      </c>
      <c r="B43" s="109">
        <v>8.4</v>
      </c>
      <c r="C43" s="116">
        <v>0</v>
      </c>
      <c r="D43" s="109"/>
      <c r="E43" s="109"/>
      <c r="F43" s="109"/>
      <c r="G43" s="109"/>
      <c r="H43" s="109"/>
      <c r="I43" s="109"/>
      <c r="J43" s="109"/>
      <c r="K43" s="109"/>
      <c r="L43" s="109"/>
      <c r="M43" s="109">
        <v>5.7</v>
      </c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109"/>
      <c r="Y43" s="109"/>
      <c r="Z43" s="109"/>
      <c r="AA43" s="109"/>
      <c r="AB43" s="109"/>
      <c r="AC43" s="109"/>
      <c r="AD43" s="109"/>
      <c r="AE43" s="109"/>
      <c r="AF43" s="109">
        <f t="shared" si="1"/>
        <v>5.7</v>
      </c>
      <c r="AG43" s="109">
        <f t="shared" si="8"/>
        <v>2.7</v>
      </c>
    </row>
    <row r="44" spans="1:33" s="87" customFormat="1" ht="15">
      <c r="A44" s="118" t="s">
        <v>2</v>
      </c>
      <c r="B44" s="109">
        <v>130.1</v>
      </c>
      <c r="C44" s="116">
        <v>130.2</v>
      </c>
      <c r="D44" s="109"/>
      <c r="E44" s="109"/>
      <c r="F44" s="109"/>
      <c r="G44" s="109"/>
      <c r="H44" s="109">
        <v>51.9</v>
      </c>
      <c r="I44" s="109"/>
      <c r="J44" s="109"/>
      <c r="K44" s="109"/>
      <c r="L44" s="109"/>
      <c r="M44" s="109"/>
      <c r="N44" s="109"/>
      <c r="O44" s="109"/>
      <c r="P44" s="109"/>
      <c r="Q44" s="109"/>
      <c r="R44" s="109"/>
      <c r="S44" s="109"/>
      <c r="T44" s="109"/>
      <c r="U44" s="109"/>
      <c r="V44" s="109"/>
      <c r="W44" s="109"/>
      <c r="X44" s="109"/>
      <c r="Y44" s="109"/>
      <c r="Z44" s="109"/>
      <c r="AA44" s="109"/>
      <c r="AB44" s="109"/>
      <c r="AC44" s="109"/>
      <c r="AD44" s="109"/>
      <c r="AE44" s="109"/>
      <c r="AF44" s="109">
        <f t="shared" si="1"/>
        <v>51.9</v>
      </c>
      <c r="AG44" s="109">
        <f t="shared" si="8"/>
        <v>208.39999999999995</v>
      </c>
    </row>
    <row r="45" spans="1:33" s="87" customFormat="1" ht="15" hidden="1">
      <c r="A45" s="118" t="s">
        <v>15</v>
      </c>
      <c r="B45" s="109"/>
      <c r="C45" s="116">
        <v>0</v>
      </c>
      <c r="D45" s="109"/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109"/>
      <c r="Q45" s="109"/>
      <c r="R45" s="109"/>
      <c r="S45" s="109"/>
      <c r="T45" s="109"/>
      <c r="U45" s="109"/>
      <c r="V45" s="109"/>
      <c r="W45" s="109"/>
      <c r="X45" s="109"/>
      <c r="Y45" s="109"/>
      <c r="Z45" s="109"/>
      <c r="AA45" s="109"/>
      <c r="AB45" s="109"/>
      <c r="AC45" s="109"/>
      <c r="AD45" s="109"/>
      <c r="AE45" s="109"/>
      <c r="AF45" s="109">
        <f t="shared" si="1"/>
        <v>0</v>
      </c>
      <c r="AG45" s="109">
        <f t="shared" si="8"/>
        <v>0</v>
      </c>
    </row>
    <row r="46" spans="1:33" s="87" customFormat="1" ht="15">
      <c r="A46" s="118" t="s">
        <v>23</v>
      </c>
      <c r="B46" s="109">
        <f aca="true" t="shared" si="9" ref="B46:AD46">B40-B41-B42-B43-B44-B45</f>
        <v>9.299999999999955</v>
      </c>
      <c r="C46" s="116">
        <f t="shared" si="9"/>
        <v>6.599999999999966</v>
      </c>
      <c r="D46" s="109">
        <f t="shared" si="9"/>
        <v>0</v>
      </c>
      <c r="E46" s="109">
        <f t="shared" si="9"/>
        <v>0</v>
      </c>
      <c r="F46" s="109">
        <f t="shared" si="9"/>
        <v>0</v>
      </c>
      <c r="G46" s="109">
        <f t="shared" si="9"/>
        <v>0</v>
      </c>
      <c r="H46" s="109">
        <f t="shared" si="9"/>
        <v>0.3999999999999986</v>
      </c>
      <c r="I46" s="109">
        <f t="shared" si="9"/>
        <v>0</v>
      </c>
      <c r="J46" s="109">
        <f t="shared" si="9"/>
        <v>0</v>
      </c>
      <c r="K46" s="109">
        <f t="shared" si="9"/>
        <v>0</v>
      </c>
      <c r="L46" s="109">
        <f t="shared" si="9"/>
        <v>0</v>
      </c>
      <c r="M46" s="109">
        <f t="shared" si="9"/>
        <v>9.399999999999967</v>
      </c>
      <c r="N46" s="109">
        <f t="shared" si="9"/>
        <v>0</v>
      </c>
      <c r="O46" s="109">
        <f t="shared" si="9"/>
        <v>0</v>
      </c>
      <c r="P46" s="109">
        <f t="shared" si="9"/>
        <v>0</v>
      </c>
      <c r="Q46" s="109">
        <f t="shared" si="9"/>
        <v>0</v>
      </c>
      <c r="R46" s="109">
        <f t="shared" si="9"/>
        <v>0</v>
      </c>
      <c r="S46" s="109">
        <f t="shared" si="9"/>
        <v>0</v>
      </c>
      <c r="T46" s="109">
        <f t="shared" si="9"/>
        <v>0</v>
      </c>
      <c r="U46" s="109">
        <f t="shared" si="9"/>
        <v>0</v>
      </c>
      <c r="V46" s="109">
        <f t="shared" si="9"/>
        <v>0</v>
      </c>
      <c r="W46" s="109">
        <f t="shared" si="9"/>
        <v>0</v>
      </c>
      <c r="X46" s="109">
        <f t="shared" si="9"/>
        <v>0</v>
      </c>
      <c r="Y46" s="109">
        <f t="shared" si="9"/>
        <v>0</v>
      </c>
      <c r="Z46" s="109">
        <f t="shared" si="9"/>
        <v>0</v>
      </c>
      <c r="AA46" s="109">
        <f t="shared" si="9"/>
        <v>0</v>
      </c>
      <c r="AB46" s="109">
        <f t="shared" si="9"/>
        <v>0</v>
      </c>
      <c r="AC46" s="109">
        <f t="shared" si="9"/>
        <v>0</v>
      </c>
      <c r="AD46" s="109">
        <f t="shared" si="9"/>
        <v>0</v>
      </c>
      <c r="AE46" s="109"/>
      <c r="AF46" s="109">
        <f t="shared" si="1"/>
        <v>9.799999999999965</v>
      </c>
      <c r="AG46" s="109">
        <f>AG40-AG41-AG42-AG43-AG44-AG45</f>
        <v>6.099999999999881</v>
      </c>
    </row>
    <row r="47" spans="1:33" s="87" customFormat="1" ht="17.25" customHeight="1">
      <c r="A47" s="115" t="s">
        <v>43</v>
      </c>
      <c r="B47" s="117">
        <v>879.3</v>
      </c>
      <c r="C47" s="116">
        <v>570.7</v>
      </c>
      <c r="D47" s="109"/>
      <c r="E47" s="127"/>
      <c r="F47" s="127"/>
      <c r="G47" s="127"/>
      <c r="H47" s="127"/>
      <c r="I47" s="127">
        <v>51.6</v>
      </c>
      <c r="J47" s="127"/>
      <c r="K47" s="127"/>
      <c r="L47" s="127">
        <v>143.8</v>
      </c>
      <c r="M47" s="127"/>
      <c r="N47" s="127">
        <v>13.5</v>
      </c>
      <c r="O47" s="127"/>
      <c r="P47" s="127"/>
      <c r="Q47" s="127">
        <v>25.2</v>
      </c>
      <c r="R47" s="127"/>
      <c r="S47" s="127"/>
      <c r="T47" s="127"/>
      <c r="U47" s="127"/>
      <c r="V47" s="127"/>
      <c r="W47" s="127"/>
      <c r="X47" s="127"/>
      <c r="Y47" s="127"/>
      <c r="Z47" s="127"/>
      <c r="AA47" s="127"/>
      <c r="AB47" s="127"/>
      <c r="AC47" s="127"/>
      <c r="AD47" s="127"/>
      <c r="AE47" s="127"/>
      <c r="AF47" s="109">
        <f t="shared" si="1"/>
        <v>234.1</v>
      </c>
      <c r="AG47" s="109">
        <f>B47+C47-AF47</f>
        <v>1215.9</v>
      </c>
    </row>
    <row r="48" spans="1:33" s="87" customFormat="1" ht="15" hidden="1">
      <c r="A48" s="118" t="s">
        <v>5</v>
      </c>
      <c r="B48" s="109"/>
      <c r="C48" s="116">
        <v>0</v>
      </c>
      <c r="D48" s="109"/>
      <c r="E48" s="127"/>
      <c r="F48" s="127"/>
      <c r="G48" s="127"/>
      <c r="H48" s="127"/>
      <c r="I48" s="127"/>
      <c r="J48" s="127"/>
      <c r="K48" s="127"/>
      <c r="L48" s="127"/>
      <c r="M48" s="127"/>
      <c r="N48" s="127"/>
      <c r="O48" s="127"/>
      <c r="P48" s="127"/>
      <c r="Q48" s="127"/>
      <c r="R48" s="127"/>
      <c r="S48" s="127"/>
      <c r="T48" s="127"/>
      <c r="U48" s="127"/>
      <c r="V48" s="127"/>
      <c r="W48" s="127"/>
      <c r="X48" s="127"/>
      <c r="Y48" s="127"/>
      <c r="Z48" s="127"/>
      <c r="AA48" s="127"/>
      <c r="AB48" s="127"/>
      <c r="AC48" s="127"/>
      <c r="AD48" s="127"/>
      <c r="AE48" s="127"/>
      <c r="AF48" s="109">
        <f t="shared" si="1"/>
        <v>0</v>
      </c>
      <c r="AG48" s="109">
        <f>B48+C48-AF48</f>
        <v>0</v>
      </c>
    </row>
    <row r="49" spans="1:33" s="87" customFormat="1" ht="15">
      <c r="A49" s="118" t="s">
        <v>16</v>
      </c>
      <c r="B49" s="109">
        <v>725.5</v>
      </c>
      <c r="C49" s="116">
        <v>269.70000000000005</v>
      </c>
      <c r="D49" s="109"/>
      <c r="E49" s="109"/>
      <c r="F49" s="109"/>
      <c r="G49" s="109"/>
      <c r="H49" s="109"/>
      <c r="I49" s="109">
        <v>51.6</v>
      </c>
      <c r="J49" s="109"/>
      <c r="K49" s="109"/>
      <c r="L49" s="109">
        <v>143.7</v>
      </c>
      <c r="M49" s="109"/>
      <c r="N49" s="109">
        <v>13.5</v>
      </c>
      <c r="O49" s="109"/>
      <c r="P49" s="109"/>
      <c r="Q49" s="109">
        <v>25.2</v>
      </c>
      <c r="R49" s="109"/>
      <c r="S49" s="109"/>
      <c r="T49" s="109"/>
      <c r="U49" s="109"/>
      <c r="V49" s="109"/>
      <c r="W49" s="109"/>
      <c r="X49" s="109"/>
      <c r="Y49" s="109"/>
      <c r="Z49" s="109"/>
      <c r="AA49" s="109"/>
      <c r="AB49" s="109"/>
      <c r="AC49" s="109"/>
      <c r="AD49" s="109"/>
      <c r="AE49" s="109"/>
      <c r="AF49" s="109">
        <f t="shared" si="1"/>
        <v>233.99999999999997</v>
      </c>
      <c r="AG49" s="109">
        <f>B49+C49-AF49</f>
        <v>761.2</v>
      </c>
    </row>
    <row r="50" spans="1:33" s="87" customFormat="1" ht="28.5" hidden="1">
      <c r="A50" s="128" t="s">
        <v>34</v>
      </c>
      <c r="B50" s="109"/>
      <c r="C50" s="116">
        <v>0</v>
      </c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9"/>
      <c r="U50" s="109"/>
      <c r="V50" s="109"/>
      <c r="W50" s="109"/>
      <c r="X50" s="109"/>
      <c r="Y50" s="109"/>
      <c r="Z50" s="109"/>
      <c r="AA50" s="109"/>
      <c r="AB50" s="109"/>
      <c r="AC50" s="109"/>
      <c r="AD50" s="109"/>
      <c r="AE50" s="109"/>
      <c r="AF50" s="109">
        <f t="shared" si="1"/>
        <v>0</v>
      </c>
      <c r="AG50" s="109">
        <f>B50+C50-AF50</f>
        <v>0</v>
      </c>
    </row>
    <row r="51" spans="1:33" s="87" customFormat="1" ht="15">
      <c r="A51" s="129" t="s">
        <v>23</v>
      </c>
      <c r="B51" s="109">
        <f aca="true" t="shared" si="10" ref="B51:AD51">B47-B48-B49</f>
        <v>153.79999999999995</v>
      </c>
      <c r="C51" s="116">
        <f t="shared" si="10"/>
        <v>301</v>
      </c>
      <c r="D51" s="109">
        <f t="shared" si="10"/>
        <v>0</v>
      </c>
      <c r="E51" s="109">
        <f t="shared" si="10"/>
        <v>0</v>
      </c>
      <c r="F51" s="109">
        <f t="shared" si="10"/>
        <v>0</v>
      </c>
      <c r="G51" s="109">
        <f t="shared" si="10"/>
        <v>0</v>
      </c>
      <c r="H51" s="109">
        <f t="shared" si="10"/>
        <v>0</v>
      </c>
      <c r="I51" s="109">
        <f t="shared" si="10"/>
        <v>0</v>
      </c>
      <c r="J51" s="109">
        <f t="shared" si="10"/>
        <v>0</v>
      </c>
      <c r="K51" s="109">
        <f t="shared" si="10"/>
        <v>0</v>
      </c>
      <c r="L51" s="109">
        <f t="shared" si="10"/>
        <v>0.10000000000002274</v>
      </c>
      <c r="M51" s="109">
        <f t="shared" si="10"/>
        <v>0</v>
      </c>
      <c r="N51" s="109">
        <f t="shared" si="10"/>
        <v>0</v>
      </c>
      <c r="O51" s="109">
        <f t="shared" si="10"/>
        <v>0</v>
      </c>
      <c r="P51" s="109">
        <f t="shared" si="10"/>
        <v>0</v>
      </c>
      <c r="Q51" s="109">
        <f t="shared" si="10"/>
        <v>0</v>
      </c>
      <c r="R51" s="109">
        <f t="shared" si="10"/>
        <v>0</v>
      </c>
      <c r="S51" s="109">
        <f t="shared" si="10"/>
        <v>0</v>
      </c>
      <c r="T51" s="109">
        <f t="shared" si="10"/>
        <v>0</v>
      </c>
      <c r="U51" s="109">
        <f t="shared" si="10"/>
        <v>0</v>
      </c>
      <c r="V51" s="109">
        <f t="shared" si="10"/>
        <v>0</v>
      </c>
      <c r="W51" s="109">
        <f t="shared" si="10"/>
        <v>0</v>
      </c>
      <c r="X51" s="109">
        <f t="shared" si="10"/>
        <v>0</v>
      </c>
      <c r="Y51" s="109">
        <f t="shared" si="10"/>
        <v>0</v>
      </c>
      <c r="Z51" s="109">
        <f t="shared" si="10"/>
        <v>0</v>
      </c>
      <c r="AA51" s="109">
        <f t="shared" si="10"/>
        <v>0</v>
      </c>
      <c r="AB51" s="109">
        <f t="shared" si="10"/>
        <v>0</v>
      </c>
      <c r="AC51" s="109">
        <f t="shared" si="10"/>
        <v>0</v>
      </c>
      <c r="AD51" s="109">
        <f t="shared" si="10"/>
        <v>0</v>
      </c>
      <c r="AE51" s="109"/>
      <c r="AF51" s="109">
        <f t="shared" si="1"/>
        <v>0.10000000000002274</v>
      </c>
      <c r="AG51" s="109">
        <f>AG47-AG49-AG48</f>
        <v>454.70000000000005</v>
      </c>
    </row>
    <row r="52" spans="1:33" s="87" customFormat="1" ht="15" customHeight="1">
      <c r="A52" s="115" t="s">
        <v>0</v>
      </c>
      <c r="B52" s="109">
        <v>2938.61074</v>
      </c>
      <c r="C52" s="116">
        <v>1021.8999999999996</v>
      </c>
      <c r="D52" s="109"/>
      <c r="E52" s="109">
        <v>510.7</v>
      </c>
      <c r="F52" s="109">
        <v>28.2</v>
      </c>
      <c r="G52" s="109"/>
      <c r="H52" s="109">
        <v>0.5</v>
      </c>
      <c r="I52" s="109">
        <v>182.1</v>
      </c>
      <c r="J52" s="109"/>
      <c r="K52" s="109"/>
      <c r="L52" s="109">
        <v>337.6</v>
      </c>
      <c r="M52" s="109">
        <v>34.8</v>
      </c>
      <c r="N52" s="109"/>
      <c r="O52" s="109"/>
      <c r="P52" s="109"/>
      <c r="Q52" s="109"/>
      <c r="R52" s="109"/>
      <c r="S52" s="109"/>
      <c r="T52" s="109"/>
      <c r="U52" s="109"/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  <c r="AF52" s="109">
        <f t="shared" si="1"/>
        <v>1093.8999999999999</v>
      </c>
      <c r="AG52" s="109">
        <f aca="true" t="shared" si="11" ref="AG52:AG59">B52+C52-AF52</f>
        <v>2866.61074</v>
      </c>
    </row>
    <row r="53" spans="1:33" s="87" customFormat="1" ht="15" customHeight="1">
      <c r="A53" s="118" t="s">
        <v>2</v>
      </c>
      <c r="B53" s="109">
        <v>1035.80464</v>
      </c>
      <c r="C53" s="116">
        <v>0.10000000000013642</v>
      </c>
      <c r="D53" s="109"/>
      <c r="E53" s="109">
        <v>3.4</v>
      </c>
      <c r="F53" s="109"/>
      <c r="G53" s="109"/>
      <c r="H53" s="109">
        <v>0.6</v>
      </c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>
        <f t="shared" si="1"/>
        <v>4</v>
      </c>
      <c r="AG53" s="109">
        <f t="shared" si="11"/>
        <v>1031.9046400000002</v>
      </c>
    </row>
    <row r="54" spans="1:34" s="87" customFormat="1" ht="15" customHeight="1">
      <c r="A54" s="115" t="s">
        <v>9</v>
      </c>
      <c r="B54" s="119">
        <v>1779.47391</v>
      </c>
      <c r="C54" s="116">
        <v>480</v>
      </c>
      <c r="D54" s="109"/>
      <c r="E54" s="109">
        <v>164.7</v>
      </c>
      <c r="F54" s="109"/>
      <c r="G54" s="109">
        <v>15</v>
      </c>
      <c r="H54" s="109"/>
      <c r="I54" s="109">
        <v>5.1</v>
      </c>
      <c r="J54" s="109"/>
      <c r="K54" s="109">
        <v>531</v>
      </c>
      <c r="L54" s="109">
        <v>54.3</v>
      </c>
      <c r="M54" s="109"/>
      <c r="N54" s="109"/>
      <c r="O54" s="109">
        <v>2.5</v>
      </c>
      <c r="P54" s="109">
        <v>15.8</v>
      </c>
      <c r="Q54" s="109">
        <v>202.7</v>
      </c>
      <c r="R54" s="109"/>
      <c r="S54" s="109"/>
      <c r="T54" s="109"/>
      <c r="U54" s="109"/>
      <c r="V54" s="109"/>
      <c r="W54" s="109"/>
      <c r="X54" s="109"/>
      <c r="Y54" s="109"/>
      <c r="Z54" s="109"/>
      <c r="AA54" s="109"/>
      <c r="AB54" s="109"/>
      <c r="AC54" s="109"/>
      <c r="AD54" s="109"/>
      <c r="AE54" s="109"/>
      <c r="AF54" s="109">
        <f t="shared" si="1"/>
        <v>991.0999999999999</v>
      </c>
      <c r="AG54" s="109">
        <f t="shared" si="11"/>
        <v>1268.3739099999998</v>
      </c>
      <c r="AH54" s="110"/>
    </row>
    <row r="55" spans="1:34" s="87" customFormat="1" ht="15">
      <c r="A55" s="118" t="s">
        <v>5</v>
      </c>
      <c r="B55" s="109">
        <v>957.228</v>
      </c>
      <c r="C55" s="116">
        <v>31.799999999999955</v>
      </c>
      <c r="D55" s="109"/>
      <c r="E55" s="109"/>
      <c r="F55" s="109"/>
      <c r="G55" s="109"/>
      <c r="H55" s="109"/>
      <c r="I55" s="109"/>
      <c r="J55" s="109"/>
      <c r="K55" s="109">
        <v>389.3</v>
      </c>
      <c r="L55" s="109"/>
      <c r="M55" s="109"/>
      <c r="N55" s="109"/>
      <c r="O55" s="109"/>
      <c r="P55" s="109"/>
      <c r="Q55" s="109"/>
      <c r="R55" s="109"/>
      <c r="S55" s="109"/>
      <c r="T55" s="109"/>
      <c r="U55" s="109"/>
      <c r="V55" s="109"/>
      <c r="W55" s="109"/>
      <c r="X55" s="109"/>
      <c r="Y55" s="109"/>
      <c r="Z55" s="109"/>
      <c r="AA55" s="109"/>
      <c r="AB55" s="109"/>
      <c r="AC55" s="109"/>
      <c r="AD55" s="109"/>
      <c r="AE55" s="109"/>
      <c r="AF55" s="109">
        <f t="shared" si="1"/>
        <v>389.3</v>
      </c>
      <c r="AG55" s="109">
        <f t="shared" si="11"/>
        <v>599.7279999999998</v>
      </c>
      <c r="AH55" s="110"/>
    </row>
    <row r="56" spans="1:34" s="87" customFormat="1" ht="15" customHeight="1" hidden="1">
      <c r="A56" s="118" t="s">
        <v>1</v>
      </c>
      <c r="B56" s="109"/>
      <c r="C56" s="116">
        <v>0</v>
      </c>
      <c r="D56" s="109"/>
      <c r="E56" s="109"/>
      <c r="F56" s="109"/>
      <c r="G56" s="109"/>
      <c r="H56" s="109"/>
      <c r="I56" s="109"/>
      <c r="J56" s="109"/>
      <c r="K56" s="109"/>
      <c r="L56" s="109"/>
      <c r="M56" s="109"/>
      <c r="N56" s="109"/>
      <c r="O56" s="109"/>
      <c r="P56" s="109"/>
      <c r="Q56" s="109"/>
      <c r="R56" s="109"/>
      <c r="S56" s="109"/>
      <c r="T56" s="109"/>
      <c r="U56" s="109"/>
      <c r="V56" s="109"/>
      <c r="W56" s="109"/>
      <c r="X56" s="109"/>
      <c r="Y56" s="109"/>
      <c r="Z56" s="109"/>
      <c r="AA56" s="109"/>
      <c r="AB56" s="109"/>
      <c r="AC56" s="109"/>
      <c r="AD56" s="109"/>
      <c r="AE56" s="109"/>
      <c r="AF56" s="109">
        <f t="shared" si="1"/>
        <v>0</v>
      </c>
      <c r="AG56" s="109">
        <f t="shared" si="11"/>
        <v>0</v>
      </c>
      <c r="AH56" s="110"/>
    </row>
    <row r="57" spans="1:33" s="87" customFormat="1" ht="15">
      <c r="A57" s="118" t="s">
        <v>2</v>
      </c>
      <c r="B57" s="117">
        <v>157.708</v>
      </c>
      <c r="C57" s="116">
        <v>176.79999999999998</v>
      </c>
      <c r="D57" s="109"/>
      <c r="E57" s="109"/>
      <c r="F57" s="109"/>
      <c r="G57" s="109">
        <v>11.3</v>
      </c>
      <c r="H57" s="109"/>
      <c r="I57" s="109"/>
      <c r="J57" s="109"/>
      <c r="K57" s="109">
        <v>141.1</v>
      </c>
      <c r="L57" s="109"/>
      <c r="M57" s="109"/>
      <c r="N57" s="109"/>
      <c r="O57" s="109"/>
      <c r="P57" s="109"/>
      <c r="Q57" s="109">
        <v>12.6</v>
      </c>
      <c r="R57" s="109"/>
      <c r="S57" s="109"/>
      <c r="T57" s="109"/>
      <c r="U57" s="109"/>
      <c r="V57" s="109"/>
      <c r="W57" s="109"/>
      <c r="X57" s="109"/>
      <c r="Y57" s="109"/>
      <c r="Z57" s="109"/>
      <c r="AA57" s="109"/>
      <c r="AB57" s="109"/>
      <c r="AC57" s="109"/>
      <c r="AD57" s="109"/>
      <c r="AE57" s="109"/>
      <c r="AF57" s="109">
        <f t="shared" si="1"/>
        <v>165</v>
      </c>
      <c r="AG57" s="109">
        <f t="shared" si="11"/>
        <v>169.50799999999998</v>
      </c>
    </row>
    <row r="58" spans="1:33" s="87" customFormat="1" ht="15">
      <c r="A58" s="118" t="s">
        <v>16</v>
      </c>
      <c r="B58" s="117">
        <v>5.1</v>
      </c>
      <c r="C58" s="116">
        <v>0</v>
      </c>
      <c r="D58" s="109"/>
      <c r="E58" s="109"/>
      <c r="F58" s="109"/>
      <c r="G58" s="109"/>
      <c r="H58" s="109"/>
      <c r="I58" s="109">
        <v>5.1</v>
      </c>
      <c r="J58" s="109"/>
      <c r="K58" s="109"/>
      <c r="L58" s="109"/>
      <c r="M58" s="109"/>
      <c r="N58" s="109"/>
      <c r="O58" s="109"/>
      <c r="P58" s="109"/>
      <c r="Q58" s="109"/>
      <c r="R58" s="109"/>
      <c r="S58" s="109"/>
      <c r="T58" s="109"/>
      <c r="U58" s="109"/>
      <c r="V58" s="109"/>
      <c r="W58" s="109"/>
      <c r="X58" s="109"/>
      <c r="Y58" s="109"/>
      <c r="Z58" s="109"/>
      <c r="AA58" s="109"/>
      <c r="AB58" s="109"/>
      <c r="AC58" s="109"/>
      <c r="AD58" s="109"/>
      <c r="AE58" s="109"/>
      <c r="AF58" s="109">
        <f t="shared" si="1"/>
        <v>5.1</v>
      </c>
      <c r="AG58" s="109">
        <f t="shared" si="11"/>
        <v>0</v>
      </c>
    </row>
    <row r="59" spans="1:33" s="87" customFormat="1" ht="15" hidden="1">
      <c r="A59" s="118" t="s">
        <v>15</v>
      </c>
      <c r="B59" s="109"/>
      <c r="C59" s="116">
        <v>0</v>
      </c>
      <c r="D59" s="109"/>
      <c r="E59" s="109"/>
      <c r="F59" s="109"/>
      <c r="G59" s="109"/>
      <c r="H59" s="109"/>
      <c r="I59" s="109"/>
      <c r="J59" s="109"/>
      <c r="K59" s="109"/>
      <c r="L59" s="109"/>
      <c r="M59" s="109"/>
      <c r="N59" s="109"/>
      <c r="O59" s="109"/>
      <c r="P59" s="109"/>
      <c r="Q59" s="109"/>
      <c r="R59" s="109"/>
      <c r="S59" s="109"/>
      <c r="T59" s="109"/>
      <c r="U59" s="109"/>
      <c r="V59" s="109"/>
      <c r="W59" s="109"/>
      <c r="X59" s="109"/>
      <c r="Y59" s="109"/>
      <c r="Z59" s="109"/>
      <c r="AA59" s="109"/>
      <c r="AB59" s="109"/>
      <c r="AC59" s="109"/>
      <c r="AD59" s="109"/>
      <c r="AE59" s="109"/>
      <c r="AF59" s="109">
        <f t="shared" si="1"/>
        <v>0</v>
      </c>
      <c r="AG59" s="109">
        <f t="shared" si="11"/>
        <v>0</v>
      </c>
    </row>
    <row r="60" spans="1:33" s="87" customFormat="1" ht="15">
      <c r="A60" s="118" t="s">
        <v>23</v>
      </c>
      <c r="B60" s="109">
        <f aca="true" t="shared" si="12" ref="B60:AD60">B54-B55-B57-B59-B56-B58</f>
        <v>659.43791</v>
      </c>
      <c r="C60" s="116">
        <f t="shared" si="12"/>
        <v>271.4000000000001</v>
      </c>
      <c r="D60" s="109">
        <f t="shared" si="12"/>
        <v>0</v>
      </c>
      <c r="E60" s="109">
        <f>E54-E55-E57-E59-E56-E58</f>
        <v>164.7</v>
      </c>
      <c r="F60" s="109">
        <f t="shared" si="12"/>
        <v>0</v>
      </c>
      <c r="G60" s="109">
        <f t="shared" si="12"/>
        <v>3.6999999999999993</v>
      </c>
      <c r="H60" s="109">
        <f t="shared" si="12"/>
        <v>0</v>
      </c>
      <c r="I60" s="109">
        <f t="shared" si="12"/>
        <v>0</v>
      </c>
      <c r="J60" s="109">
        <f t="shared" si="12"/>
        <v>0</v>
      </c>
      <c r="K60" s="109">
        <f t="shared" si="12"/>
        <v>0.5999999999999943</v>
      </c>
      <c r="L60" s="109">
        <f t="shared" si="12"/>
        <v>54.3</v>
      </c>
      <c r="M60" s="109">
        <f t="shared" si="12"/>
        <v>0</v>
      </c>
      <c r="N60" s="109">
        <f t="shared" si="12"/>
        <v>0</v>
      </c>
      <c r="O60" s="109">
        <f t="shared" si="12"/>
        <v>2.5</v>
      </c>
      <c r="P60" s="109">
        <f t="shared" si="12"/>
        <v>15.8</v>
      </c>
      <c r="Q60" s="109">
        <f t="shared" si="12"/>
        <v>190.1</v>
      </c>
      <c r="R60" s="109">
        <f t="shared" si="12"/>
        <v>0</v>
      </c>
      <c r="S60" s="109">
        <f t="shared" si="12"/>
        <v>0</v>
      </c>
      <c r="T60" s="109">
        <f t="shared" si="12"/>
        <v>0</v>
      </c>
      <c r="U60" s="109">
        <f t="shared" si="12"/>
        <v>0</v>
      </c>
      <c r="V60" s="109">
        <f t="shared" si="12"/>
        <v>0</v>
      </c>
      <c r="W60" s="109">
        <f t="shared" si="12"/>
        <v>0</v>
      </c>
      <c r="X60" s="109">
        <f t="shared" si="12"/>
        <v>0</v>
      </c>
      <c r="Y60" s="109">
        <f t="shared" si="12"/>
        <v>0</v>
      </c>
      <c r="Z60" s="109">
        <f t="shared" si="12"/>
        <v>0</v>
      </c>
      <c r="AA60" s="109">
        <f t="shared" si="12"/>
        <v>0</v>
      </c>
      <c r="AB60" s="109">
        <f t="shared" si="12"/>
        <v>0</v>
      </c>
      <c r="AC60" s="109">
        <f t="shared" si="12"/>
        <v>0</v>
      </c>
      <c r="AD60" s="109">
        <f t="shared" si="12"/>
        <v>0</v>
      </c>
      <c r="AE60" s="109"/>
      <c r="AF60" s="109">
        <f>AF54-AF55-AF57-AF59-AF56-AF58</f>
        <v>431.69999999999993</v>
      </c>
      <c r="AG60" s="109">
        <f>AG54-AG55-AG57-AG59-AG56-AG58</f>
        <v>499.13791</v>
      </c>
    </row>
    <row r="61" spans="1:33" s="87" customFormat="1" ht="15" customHeight="1">
      <c r="A61" s="115" t="s">
        <v>10</v>
      </c>
      <c r="B61" s="109">
        <v>179.3</v>
      </c>
      <c r="C61" s="116">
        <v>104.4</v>
      </c>
      <c r="D61" s="109"/>
      <c r="E61" s="109"/>
      <c r="F61" s="109"/>
      <c r="G61" s="109"/>
      <c r="H61" s="109"/>
      <c r="I61" s="109"/>
      <c r="J61" s="109"/>
      <c r="K61" s="109"/>
      <c r="L61" s="109">
        <v>1.1</v>
      </c>
      <c r="M61" s="109"/>
      <c r="N61" s="109"/>
      <c r="O61" s="109"/>
      <c r="P61" s="109"/>
      <c r="Q61" s="109"/>
      <c r="R61" s="109"/>
      <c r="S61" s="109"/>
      <c r="T61" s="109"/>
      <c r="U61" s="109"/>
      <c r="V61" s="109"/>
      <c r="W61" s="109"/>
      <c r="X61" s="109"/>
      <c r="Y61" s="109"/>
      <c r="Z61" s="109"/>
      <c r="AA61" s="109"/>
      <c r="AB61" s="109"/>
      <c r="AC61" s="109"/>
      <c r="AD61" s="109"/>
      <c r="AE61" s="109"/>
      <c r="AF61" s="109">
        <f aca="true" t="shared" si="13" ref="AF61:AF92">SUM(D61:AD61)</f>
        <v>1.1</v>
      </c>
      <c r="AG61" s="109">
        <f aca="true" t="shared" si="14" ref="AG61:AG67">B61+C61-AF61</f>
        <v>282.6</v>
      </c>
    </row>
    <row r="62" spans="1:33" s="87" customFormat="1" ht="15" customHeight="1">
      <c r="A62" s="115" t="s">
        <v>11</v>
      </c>
      <c r="B62" s="109">
        <v>2155.84575</v>
      </c>
      <c r="C62" s="116">
        <v>390.0000000000002</v>
      </c>
      <c r="D62" s="109"/>
      <c r="E62" s="109">
        <v>1</v>
      </c>
      <c r="F62" s="109">
        <v>93.6</v>
      </c>
      <c r="G62" s="109">
        <v>110</v>
      </c>
      <c r="H62" s="109"/>
      <c r="I62" s="109">
        <v>157.4</v>
      </c>
      <c r="J62" s="109"/>
      <c r="K62" s="109">
        <v>908.3</v>
      </c>
      <c r="L62" s="109"/>
      <c r="M62" s="109"/>
      <c r="N62" s="109"/>
      <c r="O62" s="109"/>
      <c r="P62" s="109">
        <v>5.2</v>
      </c>
      <c r="Q62" s="109"/>
      <c r="R62" s="109"/>
      <c r="S62" s="109"/>
      <c r="T62" s="109"/>
      <c r="U62" s="109"/>
      <c r="V62" s="109"/>
      <c r="W62" s="109"/>
      <c r="X62" s="109"/>
      <c r="Y62" s="109"/>
      <c r="Z62" s="109"/>
      <c r="AA62" s="109"/>
      <c r="AB62" s="109"/>
      <c r="AC62" s="109"/>
      <c r="AD62" s="109"/>
      <c r="AE62" s="109"/>
      <c r="AF62" s="109">
        <f t="shared" si="13"/>
        <v>1275.5</v>
      </c>
      <c r="AG62" s="109">
        <f t="shared" si="14"/>
        <v>1270.3457500000004</v>
      </c>
    </row>
    <row r="63" spans="1:34" s="87" customFormat="1" ht="15">
      <c r="A63" s="118" t="s">
        <v>5</v>
      </c>
      <c r="B63" s="109">
        <v>1502.442</v>
      </c>
      <c r="C63" s="116">
        <v>78.09999999999991</v>
      </c>
      <c r="D63" s="109"/>
      <c r="E63" s="109"/>
      <c r="F63" s="109"/>
      <c r="G63" s="109"/>
      <c r="H63" s="109"/>
      <c r="I63" s="109"/>
      <c r="J63" s="109"/>
      <c r="K63" s="109">
        <v>737.6</v>
      </c>
      <c r="L63" s="109"/>
      <c r="M63" s="109"/>
      <c r="N63" s="109"/>
      <c r="O63" s="109"/>
      <c r="P63" s="109"/>
      <c r="Q63" s="109"/>
      <c r="R63" s="109"/>
      <c r="S63" s="109"/>
      <c r="T63" s="109"/>
      <c r="U63" s="109"/>
      <c r="V63" s="109"/>
      <c r="W63" s="109"/>
      <c r="X63" s="109"/>
      <c r="Y63" s="109"/>
      <c r="Z63" s="109"/>
      <c r="AA63" s="109"/>
      <c r="AB63" s="109"/>
      <c r="AC63" s="109"/>
      <c r="AD63" s="109"/>
      <c r="AE63" s="109"/>
      <c r="AF63" s="109">
        <f t="shared" si="13"/>
        <v>737.6</v>
      </c>
      <c r="AG63" s="109">
        <f t="shared" si="14"/>
        <v>842.9419999999999</v>
      </c>
      <c r="AH63" s="130"/>
    </row>
    <row r="64" spans="1:34" s="87" customFormat="1" ht="15" hidden="1">
      <c r="A64" s="118" t="s">
        <v>3</v>
      </c>
      <c r="B64" s="109"/>
      <c r="C64" s="116">
        <v>0</v>
      </c>
      <c r="D64" s="109"/>
      <c r="E64" s="109"/>
      <c r="F64" s="109"/>
      <c r="G64" s="109"/>
      <c r="H64" s="109"/>
      <c r="I64" s="109"/>
      <c r="J64" s="109"/>
      <c r="K64" s="109"/>
      <c r="L64" s="109"/>
      <c r="M64" s="109"/>
      <c r="N64" s="109"/>
      <c r="O64" s="109"/>
      <c r="P64" s="109"/>
      <c r="Q64" s="109"/>
      <c r="R64" s="109"/>
      <c r="S64" s="109"/>
      <c r="T64" s="109"/>
      <c r="U64" s="109"/>
      <c r="V64" s="109"/>
      <c r="W64" s="109"/>
      <c r="X64" s="109"/>
      <c r="Y64" s="109"/>
      <c r="Z64" s="109"/>
      <c r="AA64" s="109"/>
      <c r="AB64" s="109"/>
      <c r="AC64" s="109"/>
      <c r="AD64" s="109"/>
      <c r="AE64" s="109"/>
      <c r="AF64" s="109">
        <f t="shared" si="13"/>
        <v>0</v>
      </c>
      <c r="AG64" s="109">
        <f t="shared" si="14"/>
        <v>0</v>
      </c>
      <c r="AH64" s="110"/>
    </row>
    <row r="65" spans="1:34" s="87" customFormat="1" ht="15">
      <c r="A65" s="118" t="s">
        <v>1</v>
      </c>
      <c r="B65" s="109">
        <v>27.1</v>
      </c>
      <c r="C65" s="116">
        <v>31.400000000000002</v>
      </c>
      <c r="D65" s="109"/>
      <c r="E65" s="109"/>
      <c r="F65" s="109">
        <v>4.2</v>
      </c>
      <c r="G65" s="109"/>
      <c r="H65" s="109"/>
      <c r="I65" s="109">
        <v>9</v>
      </c>
      <c r="J65" s="109"/>
      <c r="K65" s="109">
        <v>4.8</v>
      </c>
      <c r="L65" s="109"/>
      <c r="M65" s="109"/>
      <c r="N65" s="109"/>
      <c r="O65" s="109"/>
      <c r="P65" s="109"/>
      <c r="Q65" s="109"/>
      <c r="R65" s="109"/>
      <c r="S65" s="109"/>
      <c r="T65" s="109"/>
      <c r="U65" s="109"/>
      <c r="V65" s="109"/>
      <c r="W65" s="109"/>
      <c r="X65" s="109"/>
      <c r="Y65" s="109"/>
      <c r="Z65" s="109"/>
      <c r="AA65" s="109"/>
      <c r="AB65" s="109"/>
      <c r="AC65" s="109"/>
      <c r="AD65" s="109"/>
      <c r="AE65" s="109"/>
      <c r="AF65" s="109">
        <f t="shared" si="13"/>
        <v>18</v>
      </c>
      <c r="AG65" s="109">
        <f t="shared" si="14"/>
        <v>40.5</v>
      </c>
      <c r="AH65" s="110"/>
    </row>
    <row r="66" spans="1:33" s="87" customFormat="1" ht="15">
      <c r="A66" s="118" t="s">
        <v>2</v>
      </c>
      <c r="B66" s="109">
        <v>110.139</v>
      </c>
      <c r="C66" s="116">
        <v>86.39999999999999</v>
      </c>
      <c r="D66" s="109"/>
      <c r="E66" s="109">
        <v>1</v>
      </c>
      <c r="F66" s="109">
        <v>2.8</v>
      </c>
      <c r="G66" s="109"/>
      <c r="H66" s="109"/>
      <c r="I66" s="109">
        <v>12.3</v>
      </c>
      <c r="J66" s="109"/>
      <c r="K66" s="109">
        <v>8.3</v>
      </c>
      <c r="L66" s="109"/>
      <c r="M66" s="109"/>
      <c r="N66" s="109"/>
      <c r="O66" s="109"/>
      <c r="P66" s="109">
        <v>0.5</v>
      </c>
      <c r="Q66" s="109"/>
      <c r="R66" s="109"/>
      <c r="S66" s="109"/>
      <c r="T66" s="109"/>
      <c r="U66" s="109"/>
      <c r="V66" s="109"/>
      <c r="W66" s="109"/>
      <c r="X66" s="109"/>
      <c r="Y66" s="109"/>
      <c r="Z66" s="109"/>
      <c r="AA66" s="109"/>
      <c r="AB66" s="109"/>
      <c r="AC66" s="109"/>
      <c r="AD66" s="109"/>
      <c r="AE66" s="109"/>
      <c r="AF66" s="109">
        <f t="shared" si="13"/>
        <v>24.900000000000002</v>
      </c>
      <c r="AG66" s="109">
        <f t="shared" si="14"/>
        <v>171.63899999999998</v>
      </c>
    </row>
    <row r="67" spans="1:33" s="87" customFormat="1" ht="15">
      <c r="A67" s="118" t="s">
        <v>16</v>
      </c>
      <c r="B67" s="109">
        <v>110</v>
      </c>
      <c r="C67" s="116">
        <v>110</v>
      </c>
      <c r="D67" s="109"/>
      <c r="E67" s="109"/>
      <c r="F67" s="109"/>
      <c r="G67" s="109">
        <v>110</v>
      </c>
      <c r="H67" s="109"/>
      <c r="I67" s="109">
        <v>110</v>
      </c>
      <c r="J67" s="109"/>
      <c r="K67" s="109"/>
      <c r="L67" s="109"/>
      <c r="M67" s="109"/>
      <c r="N67" s="109"/>
      <c r="O67" s="109"/>
      <c r="P67" s="109"/>
      <c r="Q67" s="109"/>
      <c r="R67" s="109"/>
      <c r="S67" s="109"/>
      <c r="T67" s="109"/>
      <c r="U67" s="109"/>
      <c r="V67" s="109"/>
      <c r="W67" s="109"/>
      <c r="X67" s="109"/>
      <c r="Y67" s="109"/>
      <c r="Z67" s="109"/>
      <c r="AA67" s="109"/>
      <c r="AB67" s="109"/>
      <c r="AC67" s="109"/>
      <c r="AD67" s="109"/>
      <c r="AE67" s="109"/>
      <c r="AF67" s="109">
        <f t="shared" si="13"/>
        <v>220</v>
      </c>
      <c r="AG67" s="109">
        <f t="shared" si="14"/>
        <v>0</v>
      </c>
    </row>
    <row r="68" spans="1:33" s="87" customFormat="1" ht="15">
      <c r="A68" s="118" t="s">
        <v>23</v>
      </c>
      <c r="B68" s="109">
        <f aca="true" t="shared" si="15" ref="B68:AD68">B62-B63-B66-B67-B65-B64</f>
        <v>406.1647499999999</v>
      </c>
      <c r="C68" s="116">
        <f t="shared" si="15"/>
        <v>84.10000000000034</v>
      </c>
      <c r="D68" s="109">
        <f t="shared" si="15"/>
        <v>0</v>
      </c>
      <c r="E68" s="109">
        <f t="shared" si="15"/>
        <v>0</v>
      </c>
      <c r="F68" s="109">
        <f t="shared" si="15"/>
        <v>86.6</v>
      </c>
      <c r="G68" s="109">
        <f t="shared" si="15"/>
        <v>0</v>
      </c>
      <c r="H68" s="109">
        <f t="shared" si="15"/>
        <v>0</v>
      </c>
      <c r="I68" s="109">
        <f t="shared" si="15"/>
        <v>26.099999999999994</v>
      </c>
      <c r="J68" s="109">
        <f t="shared" si="15"/>
        <v>0</v>
      </c>
      <c r="K68" s="109">
        <f t="shared" si="15"/>
        <v>157.5999999999999</v>
      </c>
      <c r="L68" s="109">
        <f t="shared" si="15"/>
        <v>0</v>
      </c>
      <c r="M68" s="109">
        <f t="shared" si="15"/>
        <v>0</v>
      </c>
      <c r="N68" s="109">
        <f t="shared" si="15"/>
        <v>0</v>
      </c>
      <c r="O68" s="109">
        <f t="shared" si="15"/>
        <v>0</v>
      </c>
      <c r="P68" s="109">
        <f t="shared" si="15"/>
        <v>4.7</v>
      </c>
      <c r="Q68" s="109">
        <f t="shared" si="15"/>
        <v>0</v>
      </c>
      <c r="R68" s="109">
        <f t="shared" si="15"/>
        <v>0</v>
      </c>
      <c r="S68" s="109">
        <f t="shared" si="15"/>
        <v>0</v>
      </c>
      <c r="T68" s="109">
        <f t="shared" si="15"/>
        <v>0</v>
      </c>
      <c r="U68" s="109">
        <f t="shared" si="15"/>
        <v>0</v>
      </c>
      <c r="V68" s="109">
        <f t="shared" si="15"/>
        <v>0</v>
      </c>
      <c r="W68" s="109">
        <f t="shared" si="15"/>
        <v>0</v>
      </c>
      <c r="X68" s="109">
        <f t="shared" si="15"/>
        <v>0</v>
      </c>
      <c r="Y68" s="109">
        <f t="shared" si="15"/>
        <v>0</v>
      </c>
      <c r="Z68" s="109">
        <f t="shared" si="15"/>
        <v>0</v>
      </c>
      <c r="AA68" s="109">
        <f t="shared" si="15"/>
        <v>0</v>
      </c>
      <c r="AB68" s="109">
        <f t="shared" si="15"/>
        <v>0</v>
      </c>
      <c r="AC68" s="109">
        <f t="shared" si="15"/>
        <v>0</v>
      </c>
      <c r="AD68" s="109">
        <f t="shared" si="15"/>
        <v>0</v>
      </c>
      <c r="AE68" s="109"/>
      <c r="AF68" s="109">
        <f t="shared" si="13"/>
        <v>274.9999999999999</v>
      </c>
      <c r="AG68" s="109">
        <f>AG62-AG63-AG66-AG67-AG65-AG64</f>
        <v>215.26475000000053</v>
      </c>
    </row>
    <row r="69" spans="1:33" ht="30.75">
      <c r="A69" s="4" t="s">
        <v>45</v>
      </c>
      <c r="B69" s="67">
        <v>3529.6</v>
      </c>
      <c r="C69" s="22">
        <v>0</v>
      </c>
      <c r="D69" s="67"/>
      <c r="E69" s="67"/>
      <c r="F69" s="67">
        <v>2264.3</v>
      </c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>
        <v>1265.3</v>
      </c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3529.6000000000004</v>
      </c>
      <c r="AG69" s="82">
        <f aca="true" t="shared" si="16" ref="AG69:AG92">B69+C69-AF69</f>
        <v>0</v>
      </c>
    </row>
    <row r="70" spans="1:33" ht="15" hidden="1">
      <c r="A70" s="4" t="s">
        <v>32</v>
      </c>
      <c r="B70" s="22"/>
      <c r="C70" s="22"/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2">
        <f t="shared" si="16"/>
        <v>0</v>
      </c>
    </row>
    <row r="71" spans="1:50" ht="30.75">
      <c r="A71" s="4" t="s">
        <v>46</v>
      </c>
      <c r="B71" s="22">
        <v>0</v>
      </c>
      <c r="C71" s="24"/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82">
        <f t="shared" si="16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v>971.5</v>
      </c>
      <c r="C72" s="22">
        <v>727</v>
      </c>
      <c r="D72" s="67"/>
      <c r="E72" s="67">
        <v>133.2</v>
      </c>
      <c r="F72" s="67"/>
      <c r="G72" s="67">
        <v>17.3</v>
      </c>
      <c r="H72" s="67">
        <v>60.5</v>
      </c>
      <c r="I72" s="67">
        <v>173.3</v>
      </c>
      <c r="J72" s="72"/>
      <c r="K72" s="67">
        <f>3.4+6.1</f>
        <v>9.5</v>
      </c>
      <c r="L72" s="67">
        <v>14.3</v>
      </c>
      <c r="M72" s="67">
        <v>0.4</v>
      </c>
      <c r="N72" s="67">
        <v>29.5</v>
      </c>
      <c r="O72" s="67">
        <v>0.2</v>
      </c>
      <c r="P72" s="67"/>
      <c r="Q72" s="71"/>
      <c r="R72" s="67"/>
      <c r="S72" s="72"/>
      <c r="T72" s="72"/>
      <c r="U72" s="72"/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438.2</v>
      </c>
      <c r="AG72" s="82">
        <f t="shared" si="16"/>
        <v>1260.3</v>
      </c>
    </row>
    <row r="73" spans="1:33" ht="15" customHeight="1">
      <c r="A73" s="3" t="s">
        <v>5</v>
      </c>
      <c r="B73" s="22">
        <v>43.3</v>
      </c>
      <c r="C73" s="22">
        <v>43.2</v>
      </c>
      <c r="D73" s="67"/>
      <c r="E73" s="67">
        <v>45.4</v>
      </c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82">
        <f t="shared" si="16"/>
        <v>41.1</v>
      </c>
    </row>
    <row r="74" spans="1:33" ht="15" customHeight="1">
      <c r="A74" s="3" t="s">
        <v>2</v>
      </c>
      <c r="B74" s="22">
        <v>175.8</v>
      </c>
      <c r="C74" s="22">
        <v>175.8</v>
      </c>
      <c r="D74" s="67"/>
      <c r="E74" s="67">
        <v>47.8</v>
      </c>
      <c r="F74" s="67"/>
      <c r="G74" s="67">
        <v>0.9</v>
      </c>
      <c r="H74" s="67">
        <v>59.7</v>
      </c>
      <c r="I74" s="67">
        <v>88.3</v>
      </c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196.7</v>
      </c>
      <c r="AG74" s="82">
        <f t="shared" si="16"/>
        <v>154.90000000000003</v>
      </c>
    </row>
    <row r="75" spans="1:33" ht="15" customHeight="1">
      <c r="A75" s="3" t="s">
        <v>16</v>
      </c>
      <c r="B75" s="22">
        <v>51.1</v>
      </c>
      <c r="C75" s="22">
        <v>0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82">
        <f t="shared" si="16"/>
        <v>51.1</v>
      </c>
    </row>
    <row r="76" spans="1:33" s="11" customFormat="1" ht="15">
      <c r="A76" s="12" t="s">
        <v>48</v>
      </c>
      <c r="B76" s="22">
        <v>149.5</v>
      </c>
      <c r="C76" s="22">
        <v>24.999999999999986</v>
      </c>
      <c r="D76" s="67"/>
      <c r="E76" s="79"/>
      <c r="F76" s="79"/>
      <c r="G76" s="79"/>
      <c r="H76" s="79"/>
      <c r="I76" s="79"/>
      <c r="J76" s="80"/>
      <c r="K76" s="79">
        <v>30.4</v>
      </c>
      <c r="L76" s="79"/>
      <c r="M76" s="79"/>
      <c r="N76" s="79"/>
      <c r="O76" s="79"/>
      <c r="P76" s="79"/>
      <c r="Q76" s="81"/>
      <c r="R76" s="79"/>
      <c r="S76" s="80"/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30.4</v>
      </c>
      <c r="AG76" s="82">
        <f t="shared" si="16"/>
        <v>144.1</v>
      </c>
    </row>
    <row r="77" spans="1:33" s="11" customFormat="1" ht="15">
      <c r="A77" s="3" t="s">
        <v>5</v>
      </c>
      <c r="B77" s="22">
        <v>116.5</v>
      </c>
      <c r="C77" s="22">
        <v>7.799999999999997</v>
      </c>
      <c r="D77" s="67"/>
      <c r="E77" s="79"/>
      <c r="F77" s="79"/>
      <c r="G77" s="79"/>
      <c r="H77" s="79"/>
      <c r="I77" s="79"/>
      <c r="J77" s="80"/>
      <c r="K77" s="79">
        <v>25.4</v>
      </c>
      <c r="L77" s="79"/>
      <c r="M77" s="79"/>
      <c r="N77" s="79"/>
      <c r="O77" s="79"/>
      <c r="P77" s="79"/>
      <c r="Q77" s="81"/>
      <c r="R77" s="79"/>
      <c r="S77" s="80"/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25.4</v>
      </c>
      <c r="AG77" s="82">
        <f t="shared" si="16"/>
        <v>98.9</v>
      </c>
    </row>
    <row r="78" spans="1:33" s="11" customFormat="1" ht="15" hidden="1">
      <c r="A78" s="3" t="s">
        <v>3</v>
      </c>
      <c r="B78" s="22"/>
      <c r="C78" s="2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2">
        <f t="shared" si="16"/>
        <v>0</v>
      </c>
    </row>
    <row r="79" spans="1:33" s="11" customFormat="1" ht="15" hidden="1">
      <c r="A79" s="3" t="s">
        <v>1</v>
      </c>
      <c r="B79" s="22"/>
      <c r="C79" s="2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2">
        <f t="shared" si="16"/>
        <v>0</v>
      </c>
    </row>
    <row r="80" spans="1:33" s="11" customFormat="1" ht="15">
      <c r="A80" s="3" t="s">
        <v>2</v>
      </c>
      <c r="B80" s="22">
        <v>7.4</v>
      </c>
      <c r="C80" s="22">
        <v>7.6</v>
      </c>
      <c r="D80" s="67"/>
      <c r="E80" s="79"/>
      <c r="F80" s="79"/>
      <c r="G80" s="79"/>
      <c r="H80" s="79"/>
      <c r="I80" s="79"/>
      <c r="J80" s="80"/>
      <c r="K80" s="79">
        <v>4.9</v>
      </c>
      <c r="L80" s="79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4.9</v>
      </c>
      <c r="AG80" s="82">
        <f t="shared" si="16"/>
        <v>10.1</v>
      </c>
    </row>
    <row r="81" spans="1:33" s="11" customFormat="1" ht="15">
      <c r="A81" s="12" t="s">
        <v>49</v>
      </c>
      <c r="B81" s="22">
        <v>0</v>
      </c>
      <c r="C81" s="24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2">
        <f t="shared" si="16"/>
        <v>0</v>
      </c>
    </row>
    <row r="82" spans="1:33" s="11" customFormat="1" ht="15" hidden="1">
      <c r="A82" s="12" t="s">
        <v>41</v>
      </c>
      <c r="B82" s="22"/>
      <c r="C82" s="24"/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2">
        <f t="shared" si="16"/>
        <v>0</v>
      </c>
    </row>
    <row r="83" spans="1:33" s="11" customFormat="1" ht="15" hidden="1">
      <c r="A83" s="12" t="s">
        <v>40</v>
      </c>
      <c r="B83" s="24"/>
      <c r="C83" s="24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3"/>
        <v>0</v>
      </c>
      <c r="AG83" s="67">
        <f t="shared" si="16"/>
        <v>0</v>
      </c>
    </row>
    <row r="84" spans="1:33" s="11" customFormat="1" ht="15" hidden="1">
      <c r="A84" s="25" t="s">
        <v>21</v>
      </c>
      <c r="B84" s="22"/>
      <c r="C84" s="24"/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67">
        <f t="shared" si="16"/>
        <v>0</v>
      </c>
    </row>
    <row r="85" spans="1:33" s="11" customFormat="1" ht="15" hidden="1">
      <c r="A85" s="25" t="s">
        <v>22</v>
      </c>
      <c r="B85" s="22"/>
      <c r="C85" s="24"/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67">
        <f t="shared" si="16"/>
        <v>0</v>
      </c>
    </row>
    <row r="86" spans="1:33" s="11" customFormat="1" ht="30.75" hidden="1">
      <c r="A86" s="25" t="s">
        <v>24</v>
      </c>
      <c r="B86" s="22"/>
      <c r="C86" s="24"/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67">
        <f t="shared" si="16"/>
        <v>0</v>
      </c>
    </row>
    <row r="87" spans="1:33" s="11" customFormat="1" ht="30.75" hidden="1">
      <c r="A87" s="25" t="s">
        <v>28</v>
      </c>
      <c r="B87" s="22"/>
      <c r="C87" s="24"/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67">
        <f t="shared" si="16"/>
        <v>0</v>
      </c>
    </row>
    <row r="88" spans="1:34" ht="15" hidden="1">
      <c r="A88" s="4" t="s">
        <v>44</v>
      </c>
      <c r="B88" s="22"/>
      <c r="C88" s="22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67">
        <f t="shared" si="16"/>
        <v>0</v>
      </c>
      <c r="AH88" s="11"/>
    </row>
    <row r="89" spans="1:35" ht="15">
      <c r="A89" s="4" t="s">
        <v>50</v>
      </c>
      <c r="B89" s="22">
        <v>3250</v>
      </c>
      <c r="C89" s="22">
        <v>2269.1000000000004</v>
      </c>
      <c r="D89" s="67"/>
      <c r="E89" s="67"/>
      <c r="F89" s="67"/>
      <c r="G89" s="67">
        <v>629.8</v>
      </c>
      <c r="H89" s="67"/>
      <c r="I89" s="67">
        <v>725.8</v>
      </c>
      <c r="J89" s="67"/>
      <c r="K89" s="67"/>
      <c r="L89" s="67"/>
      <c r="M89" s="67"/>
      <c r="N89" s="67"/>
      <c r="O89" s="67"/>
      <c r="P89" s="67">
        <v>539.8</v>
      </c>
      <c r="Q89" s="67"/>
      <c r="R89" s="67"/>
      <c r="S89" s="72"/>
      <c r="T89" s="72"/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1895.3999999999999</v>
      </c>
      <c r="AG89" s="67">
        <f t="shared" si="16"/>
        <v>3623.7000000000007</v>
      </c>
      <c r="AH89" s="11"/>
      <c r="AI89" s="86"/>
    </row>
    <row r="90" spans="1:34" ht="15">
      <c r="A90" s="4" t="s">
        <v>51</v>
      </c>
      <c r="B90" s="22">
        <f>2457.1+1062.3</f>
        <v>3519.3999999999996</v>
      </c>
      <c r="C90" s="22">
        <v>0</v>
      </c>
      <c r="D90" s="67"/>
      <c r="E90" s="67"/>
      <c r="F90" s="67"/>
      <c r="G90" s="67"/>
      <c r="H90" s="67"/>
      <c r="I90" s="67"/>
      <c r="J90" s="67">
        <v>1173.1</v>
      </c>
      <c r="K90" s="67"/>
      <c r="L90" s="67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2346.2</v>
      </c>
      <c r="AG90" s="67">
        <f t="shared" si="16"/>
        <v>1173.1999999999998</v>
      </c>
      <c r="AH90" s="11"/>
    </row>
    <row r="91" spans="1:34" ht="15">
      <c r="A91" s="4" t="s">
        <v>25</v>
      </c>
      <c r="B91" s="22">
        <v>101.3</v>
      </c>
      <c r="C91" s="22">
        <v>50.89999999999999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67">
        <f t="shared" si="16"/>
        <v>152.2</v>
      </c>
      <c r="AH91" s="11"/>
    </row>
    <row r="92" spans="1:34" ht="15">
      <c r="A92" s="4" t="s">
        <v>37</v>
      </c>
      <c r="B92" s="22">
        <v>0</v>
      </c>
      <c r="C92" s="22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0</v>
      </c>
      <c r="AG92" s="67">
        <f t="shared" si="16"/>
        <v>0</v>
      </c>
      <c r="AH92" s="58"/>
    </row>
    <row r="93" spans="1:33" ht="1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">
      <c r="A94" s="7" t="s">
        <v>27</v>
      </c>
      <c r="B94" s="35">
        <f aca="true" t="shared" si="17" ref="B94:Y94">B10+B15+B24+B33+B47+B52+B54+B61+B62+B69+B71+B72+B76+B81+B82+B83+B88+B89+B90+B91+B40+B92+B70</f>
        <v>123241.56021000001</v>
      </c>
      <c r="C94" s="35">
        <f t="shared" si="17"/>
        <v>20213.30000000001</v>
      </c>
      <c r="D94" s="83">
        <f t="shared" si="17"/>
        <v>146.5</v>
      </c>
      <c r="E94" s="83">
        <f t="shared" si="17"/>
        <v>1225.5</v>
      </c>
      <c r="F94" s="83">
        <f t="shared" si="17"/>
        <v>2604.8</v>
      </c>
      <c r="G94" s="83">
        <f t="shared" si="17"/>
        <v>1149.3</v>
      </c>
      <c r="H94" s="83">
        <f t="shared" si="17"/>
        <v>143</v>
      </c>
      <c r="I94" s="83">
        <f t="shared" si="17"/>
        <v>1967</v>
      </c>
      <c r="J94" s="83">
        <f t="shared" si="17"/>
        <v>2521.6</v>
      </c>
      <c r="K94" s="83">
        <f t="shared" si="17"/>
        <v>12926.4</v>
      </c>
      <c r="L94" s="83">
        <f t="shared" si="17"/>
        <v>26458.999999999996</v>
      </c>
      <c r="M94" s="83">
        <f t="shared" si="17"/>
        <v>760.6</v>
      </c>
      <c r="N94" s="83">
        <f t="shared" si="17"/>
        <v>667.7</v>
      </c>
      <c r="O94" s="83">
        <f t="shared" si="17"/>
        <v>2730</v>
      </c>
      <c r="P94" s="83">
        <f t="shared" si="17"/>
        <v>2114.7</v>
      </c>
      <c r="Q94" s="83">
        <f t="shared" si="17"/>
        <v>2718.2999999999997</v>
      </c>
      <c r="R94" s="83">
        <f t="shared" si="17"/>
        <v>0</v>
      </c>
      <c r="S94" s="83">
        <f t="shared" si="17"/>
        <v>0</v>
      </c>
      <c r="T94" s="83">
        <f t="shared" si="17"/>
        <v>0</v>
      </c>
      <c r="U94" s="83">
        <f t="shared" si="17"/>
        <v>0</v>
      </c>
      <c r="V94" s="83">
        <f t="shared" si="17"/>
        <v>0</v>
      </c>
      <c r="W94" s="83">
        <f t="shared" si="17"/>
        <v>0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58134.399999999994</v>
      </c>
      <c r="AG94" s="84">
        <f>AG10+AG15+AG24+AG33+AG47+AG52+AG54+AG61+AG62+AG69+AG71+AG72+AG76+AG81+AG82+AG83+AG88+AG89+AG90+AG91+AG70+AG40+AG92</f>
        <v>85320.46021</v>
      </c>
    </row>
    <row r="95" spans="1:33" ht="15">
      <c r="A95" s="3" t="s">
        <v>5</v>
      </c>
      <c r="B95" s="22">
        <f aca="true" t="shared" si="18" ref="B95:AD95">B11+B17+B26+B34+B55+B63+B73+B41+B77+B48</f>
        <v>55081.600000000006</v>
      </c>
      <c r="C95" s="22">
        <f t="shared" si="18"/>
        <v>1420.0000000000016</v>
      </c>
      <c r="D95" s="67">
        <f t="shared" si="18"/>
        <v>37</v>
      </c>
      <c r="E95" s="67">
        <f t="shared" si="18"/>
        <v>189.3</v>
      </c>
      <c r="F95" s="67">
        <f t="shared" si="18"/>
        <v>8.8</v>
      </c>
      <c r="G95" s="67">
        <f t="shared" si="18"/>
        <v>37.8</v>
      </c>
      <c r="H95" s="67">
        <f t="shared" si="18"/>
        <v>16.1</v>
      </c>
      <c r="I95" s="67">
        <f t="shared" si="18"/>
        <v>28.3</v>
      </c>
      <c r="J95" s="67">
        <f t="shared" si="18"/>
        <v>0</v>
      </c>
      <c r="K95" s="67">
        <f t="shared" si="18"/>
        <v>11807.599999999999</v>
      </c>
      <c r="L95" s="67">
        <f t="shared" si="18"/>
        <v>15071.4</v>
      </c>
      <c r="M95" s="67">
        <f t="shared" si="18"/>
        <v>381.40000000000003</v>
      </c>
      <c r="N95" s="67">
        <f t="shared" si="18"/>
        <v>0</v>
      </c>
      <c r="O95" s="67">
        <f t="shared" si="18"/>
        <v>40</v>
      </c>
      <c r="P95" s="67">
        <f t="shared" si="18"/>
        <v>0</v>
      </c>
      <c r="Q95" s="67">
        <f t="shared" si="18"/>
        <v>45.8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27663.499999999996</v>
      </c>
      <c r="AG95" s="71">
        <f>B95+C95-AF95</f>
        <v>28838.10000000001</v>
      </c>
    </row>
    <row r="96" spans="1:33" ht="15">
      <c r="A96" s="3" t="s">
        <v>2</v>
      </c>
      <c r="B96" s="22">
        <f aca="true" t="shared" si="19" ref="B96:AD96">B12+B20+B29+B36+B57+B66+B44+B80+B74+B53</f>
        <v>4875.056640000001</v>
      </c>
      <c r="C96" s="22">
        <f t="shared" si="19"/>
        <v>3486.500000000001</v>
      </c>
      <c r="D96" s="67">
        <f t="shared" si="19"/>
        <v>0</v>
      </c>
      <c r="E96" s="67">
        <f t="shared" si="19"/>
        <v>116.3</v>
      </c>
      <c r="F96" s="67">
        <f t="shared" si="19"/>
        <v>3.5</v>
      </c>
      <c r="G96" s="67">
        <f t="shared" si="19"/>
        <v>110</v>
      </c>
      <c r="H96" s="67">
        <f t="shared" si="19"/>
        <v>115.6</v>
      </c>
      <c r="I96" s="67">
        <f t="shared" si="19"/>
        <v>186.9</v>
      </c>
      <c r="J96" s="67">
        <f t="shared" si="19"/>
        <v>15</v>
      </c>
      <c r="K96" s="67">
        <f t="shared" si="19"/>
        <v>293.49999999999994</v>
      </c>
      <c r="L96" s="67">
        <f t="shared" si="19"/>
        <v>167</v>
      </c>
      <c r="M96" s="67">
        <f t="shared" si="19"/>
        <v>27.2</v>
      </c>
      <c r="N96" s="67">
        <f t="shared" si="19"/>
        <v>0</v>
      </c>
      <c r="O96" s="67">
        <f t="shared" si="19"/>
        <v>31.6</v>
      </c>
      <c r="P96" s="67">
        <f t="shared" si="19"/>
        <v>337.9</v>
      </c>
      <c r="Q96" s="67">
        <f t="shared" si="19"/>
        <v>12.6</v>
      </c>
      <c r="R96" s="67">
        <f t="shared" si="19"/>
        <v>0</v>
      </c>
      <c r="S96" s="67">
        <f t="shared" si="19"/>
        <v>0</v>
      </c>
      <c r="T96" s="67">
        <f t="shared" si="19"/>
        <v>0</v>
      </c>
      <c r="U96" s="67">
        <f t="shared" si="19"/>
        <v>0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1417.1</v>
      </c>
      <c r="AG96" s="71">
        <f>B96+C96-AF96</f>
        <v>6944.456640000002</v>
      </c>
    </row>
    <row r="97" spans="1:33" ht="15">
      <c r="A97" s="3" t="s">
        <v>3</v>
      </c>
      <c r="B97" s="22">
        <f aca="true" t="shared" si="20" ref="B97:AA97">B18+B27+B42+B64+B78</f>
        <v>0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">
      <c r="A98" s="3" t="s">
        <v>1</v>
      </c>
      <c r="B98" s="22">
        <f aca="true" t="shared" si="21" ref="B98:AD98">B19+B28+B65+B35+B43+B56+B79</f>
        <v>4075.4</v>
      </c>
      <c r="C98" s="22">
        <f t="shared" si="21"/>
        <v>2822.9</v>
      </c>
      <c r="D98" s="67">
        <f t="shared" si="21"/>
        <v>0</v>
      </c>
      <c r="E98" s="67">
        <f t="shared" si="21"/>
        <v>85.8</v>
      </c>
      <c r="F98" s="67">
        <f t="shared" si="21"/>
        <v>4.2</v>
      </c>
      <c r="G98" s="67">
        <f t="shared" si="21"/>
        <v>204.3</v>
      </c>
      <c r="H98" s="67">
        <f t="shared" si="21"/>
        <v>0</v>
      </c>
      <c r="I98" s="67">
        <f t="shared" si="21"/>
        <v>530.3</v>
      </c>
      <c r="J98" s="67">
        <f t="shared" si="21"/>
        <v>87.9</v>
      </c>
      <c r="K98" s="67">
        <f t="shared" si="21"/>
        <v>298</v>
      </c>
      <c r="L98" s="67">
        <f t="shared" si="21"/>
        <v>0</v>
      </c>
      <c r="M98" s="67">
        <f t="shared" si="21"/>
        <v>250.5</v>
      </c>
      <c r="N98" s="67">
        <f t="shared" si="21"/>
        <v>269.9</v>
      </c>
      <c r="O98" s="67">
        <f t="shared" si="21"/>
        <v>23.7</v>
      </c>
      <c r="P98" s="67">
        <f t="shared" si="21"/>
        <v>37.8</v>
      </c>
      <c r="Q98" s="67">
        <f t="shared" si="21"/>
        <v>0</v>
      </c>
      <c r="R98" s="67">
        <f t="shared" si="21"/>
        <v>0</v>
      </c>
      <c r="S98" s="67">
        <f t="shared" si="21"/>
        <v>0</v>
      </c>
      <c r="T98" s="67">
        <f t="shared" si="21"/>
        <v>0</v>
      </c>
      <c r="U98" s="67">
        <f t="shared" si="21"/>
        <v>0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1792.4</v>
      </c>
      <c r="AG98" s="71">
        <f>B98+C98-AF98</f>
        <v>5105.9</v>
      </c>
    </row>
    <row r="99" spans="1:33" ht="15">
      <c r="A99" s="3" t="s">
        <v>16</v>
      </c>
      <c r="B99" s="22">
        <f aca="true" t="shared" si="22" ref="B99:X99">B21+B30+B49+B37+B58+B13+B75+B67</f>
        <v>2045.6999999999998</v>
      </c>
      <c r="C99" s="22">
        <f t="shared" si="22"/>
        <v>418.4000000000001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110</v>
      </c>
      <c r="H99" s="67">
        <f t="shared" si="22"/>
        <v>0</v>
      </c>
      <c r="I99" s="67">
        <f t="shared" si="22"/>
        <v>166.7</v>
      </c>
      <c r="J99" s="67">
        <f t="shared" si="22"/>
        <v>0</v>
      </c>
      <c r="K99" s="67">
        <f t="shared" si="22"/>
        <v>0</v>
      </c>
      <c r="L99" s="67">
        <f t="shared" si="22"/>
        <v>143.7</v>
      </c>
      <c r="M99" s="67">
        <f t="shared" si="22"/>
        <v>0</v>
      </c>
      <c r="N99" s="67">
        <f t="shared" si="22"/>
        <v>359.8</v>
      </c>
      <c r="O99" s="67">
        <f t="shared" si="22"/>
        <v>0</v>
      </c>
      <c r="P99" s="67">
        <f t="shared" si="22"/>
        <v>159.7</v>
      </c>
      <c r="Q99" s="67">
        <f t="shared" si="22"/>
        <v>25.2</v>
      </c>
      <c r="R99" s="67">
        <f t="shared" si="22"/>
        <v>0</v>
      </c>
      <c r="S99" s="67">
        <f t="shared" si="22"/>
        <v>0</v>
      </c>
      <c r="T99" s="67">
        <f t="shared" si="22"/>
        <v>0</v>
      </c>
      <c r="U99" s="67">
        <f t="shared" si="22"/>
        <v>0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965.1000000000001</v>
      </c>
      <c r="AG99" s="71">
        <f>B99+C99-AF99</f>
        <v>1498.9999999999998</v>
      </c>
    </row>
    <row r="100" spans="1:33" ht="13.5">
      <c r="A100" s="1" t="s">
        <v>35</v>
      </c>
      <c r="B100" s="2">
        <f aca="true" t="shared" si="24" ref="B100:AD100">B94-B95-B96-B97-B98-B99</f>
        <v>57163.803570000004</v>
      </c>
      <c r="C100" s="2">
        <f t="shared" si="24"/>
        <v>12065.500000000011</v>
      </c>
      <c r="D100" s="85">
        <f t="shared" si="24"/>
        <v>109.5</v>
      </c>
      <c r="E100" s="85">
        <f t="shared" si="24"/>
        <v>834.1000000000001</v>
      </c>
      <c r="F100" s="85">
        <f t="shared" si="24"/>
        <v>2588.3</v>
      </c>
      <c r="G100" s="85">
        <f t="shared" si="24"/>
        <v>687.2</v>
      </c>
      <c r="H100" s="85">
        <f t="shared" si="24"/>
        <v>11.300000000000011</v>
      </c>
      <c r="I100" s="85">
        <f t="shared" si="24"/>
        <v>1054.8</v>
      </c>
      <c r="J100" s="85">
        <f t="shared" si="24"/>
        <v>2418.7</v>
      </c>
      <c r="K100" s="85">
        <f t="shared" si="24"/>
        <v>527.3000000000011</v>
      </c>
      <c r="L100" s="85">
        <f t="shared" si="24"/>
        <v>11076.899999999996</v>
      </c>
      <c r="M100" s="85">
        <f t="shared" si="24"/>
        <v>101.5</v>
      </c>
      <c r="N100" s="85">
        <f t="shared" si="24"/>
        <v>38.00000000000006</v>
      </c>
      <c r="O100" s="85">
        <f t="shared" si="24"/>
        <v>2634.7000000000003</v>
      </c>
      <c r="P100" s="85">
        <f t="shared" si="24"/>
        <v>1579.2999999999997</v>
      </c>
      <c r="Q100" s="85">
        <f t="shared" si="24"/>
        <v>2634.7</v>
      </c>
      <c r="R100" s="85">
        <f t="shared" si="24"/>
        <v>0</v>
      </c>
      <c r="S100" s="85">
        <f t="shared" si="24"/>
        <v>0</v>
      </c>
      <c r="T100" s="85">
        <f t="shared" si="24"/>
        <v>0</v>
      </c>
      <c r="U100" s="85">
        <f t="shared" si="24"/>
        <v>0</v>
      </c>
      <c r="V100" s="85">
        <f t="shared" si="24"/>
        <v>0</v>
      </c>
      <c r="W100" s="85">
        <f t="shared" si="24"/>
        <v>0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26296.3</v>
      </c>
      <c r="AG100" s="85">
        <f>AG94-AG95-AG96-AG97-AG98-AG99</f>
        <v>42933.00356999999</v>
      </c>
    </row>
    <row r="101" spans="1:33" s="32" customFormat="1" ht="15">
      <c r="A101" s="30"/>
      <c r="B101" s="31"/>
      <c r="C101" s="31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4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Q58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F94" sqref="AF9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87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40" t="s">
        <v>12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</row>
    <row r="2" spans="1:33" ht="22.5" customHeight="1">
      <c r="A2" s="141" t="s">
        <v>53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</row>
    <row r="3" spans="2:33" ht="17.25" customHeight="1">
      <c r="B3" s="15"/>
      <c r="C3" s="88"/>
      <c r="D3" s="15"/>
      <c r="AG3" s="13" t="s">
        <v>17</v>
      </c>
    </row>
    <row r="4" spans="1:33" ht="62.25">
      <c r="A4" s="34" t="s">
        <v>26</v>
      </c>
      <c r="B4" s="9" t="s">
        <v>54</v>
      </c>
      <c r="C4" s="91" t="s">
        <v>18</v>
      </c>
      <c r="D4" s="9">
        <v>1</v>
      </c>
      <c r="E4" s="8">
        <v>2</v>
      </c>
      <c r="F4" s="8">
        <v>5</v>
      </c>
      <c r="G4" s="8">
        <v>6</v>
      </c>
      <c r="H4" s="8">
        <v>7</v>
      </c>
      <c r="I4" s="8">
        <v>8</v>
      </c>
      <c r="J4" s="19">
        <v>9</v>
      </c>
      <c r="K4" s="8">
        <v>12</v>
      </c>
      <c r="L4" s="8">
        <v>13</v>
      </c>
      <c r="M4" s="8">
        <v>14</v>
      </c>
      <c r="N4" s="8">
        <v>15</v>
      </c>
      <c r="O4" s="8">
        <v>16</v>
      </c>
      <c r="P4" s="8">
        <v>19</v>
      </c>
      <c r="Q4" s="8">
        <v>20</v>
      </c>
      <c r="R4" s="8">
        <v>21</v>
      </c>
      <c r="S4" s="19">
        <v>22</v>
      </c>
      <c r="T4" s="19">
        <v>23</v>
      </c>
      <c r="U4" s="8">
        <v>26</v>
      </c>
      <c r="V4" s="8">
        <v>27</v>
      </c>
      <c r="W4" s="8">
        <v>28</v>
      </c>
      <c r="X4" s="19">
        <v>27</v>
      </c>
      <c r="Y4" s="19">
        <v>28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46" t="s">
        <v>42</v>
      </c>
      <c r="B5" s="54">
        <f>SUM(D5:Y5)</f>
        <v>0</v>
      </c>
      <c r="C5" s="95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" hidden="1">
      <c r="A6" s="46" t="s">
        <v>33</v>
      </c>
      <c r="B6" s="33">
        <f>SUM(D6:AD6)</f>
        <v>0</v>
      </c>
      <c r="C6" s="96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">
      <c r="A7" s="46" t="s">
        <v>36</v>
      </c>
      <c r="B7" s="33">
        <f>SUM(D7:Y7)</f>
        <v>41182.6</v>
      </c>
      <c r="C7" s="95">
        <v>19662.3</v>
      </c>
      <c r="D7" s="38">
        <f>9589.8+11001.5</f>
        <v>20591.3</v>
      </c>
      <c r="E7" s="38"/>
      <c r="F7" s="38"/>
      <c r="G7" s="38"/>
      <c r="H7" s="56"/>
      <c r="I7" s="38"/>
      <c r="J7" s="39"/>
      <c r="K7" s="38">
        <v>20591.3</v>
      </c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C7+D7+K7-AF16-AF25</f>
        <v>19140.8</v>
      </c>
      <c r="AF7" s="54"/>
      <c r="AG7" s="40"/>
    </row>
    <row r="8" spans="1:55" ht="18" customHeight="1">
      <c r="A8" s="47" t="s">
        <v>30</v>
      </c>
      <c r="B8" s="33">
        <f>SUM(E8:AB8)</f>
        <v>119053.87000000002</v>
      </c>
      <c r="C8" s="99">
        <v>30164.00000000003</v>
      </c>
      <c r="D8" s="59">
        <v>10533.6</v>
      </c>
      <c r="E8" s="60">
        <v>3158.9</v>
      </c>
      <c r="F8" s="61">
        <v>2782.5</v>
      </c>
      <c r="G8" s="61">
        <v>5296</v>
      </c>
      <c r="H8" s="61">
        <v>5413.7</v>
      </c>
      <c r="I8" s="61">
        <v>12819.1</v>
      </c>
      <c r="J8" s="61">
        <v>6435.8</v>
      </c>
      <c r="K8" s="62">
        <v>3658.4</v>
      </c>
      <c r="L8" s="61">
        <v>3229.3</v>
      </c>
      <c r="M8" s="61">
        <v>4130.97</v>
      </c>
      <c r="N8" s="61">
        <v>9466.1</v>
      </c>
      <c r="O8" s="61">
        <v>8841.4</v>
      </c>
      <c r="P8" s="61">
        <v>9028.4</v>
      </c>
      <c r="Q8" s="61">
        <v>8858.2</v>
      </c>
      <c r="R8" s="61">
        <v>5135.8</v>
      </c>
      <c r="S8" s="63">
        <v>4486.6</v>
      </c>
      <c r="T8" s="63">
        <v>6637.1</v>
      </c>
      <c r="U8" s="61">
        <v>4247</v>
      </c>
      <c r="V8" s="61">
        <v>4296.6</v>
      </c>
      <c r="W8" s="61">
        <v>11132</v>
      </c>
      <c r="X8" s="62"/>
      <c r="Y8" s="62"/>
      <c r="Z8" s="62"/>
      <c r="AA8" s="62"/>
      <c r="AB8" s="61"/>
      <c r="AC8" s="64"/>
      <c r="AD8" s="64"/>
      <c r="AE8" s="65">
        <f>SUM(D8:AD8)+C8-AF9</f>
        <v>26206.170000000042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47" t="s">
        <v>14</v>
      </c>
      <c r="B9" s="68">
        <f>B10+B15+B24+B33+B47+B52+B54+B61+B62+B71+B72+B88+B76+B81+B83+B82+B69+B89+B90+B91+B70+B40+B92</f>
        <v>168094.09999999998</v>
      </c>
      <c r="C9" s="112">
        <f aca="true" t="shared" si="0" ref="C9:AD9">C10+C15+C24+C33+C47+C52+C54+C61+C62+C71+C72+C88+C76+C81+C83+C82+C69+C89+C90+C91+C70+C40+C92</f>
        <v>12798.000000000011</v>
      </c>
      <c r="D9" s="68">
        <f t="shared" si="0"/>
        <v>146.5</v>
      </c>
      <c r="E9" s="68">
        <f t="shared" si="0"/>
        <v>1225.5</v>
      </c>
      <c r="F9" s="68">
        <f t="shared" si="0"/>
        <v>2604.8</v>
      </c>
      <c r="G9" s="68">
        <f t="shared" si="0"/>
        <v>1149.3</v>
      </c>
      <c r="H9" s="68">
        <f t="shared" si="0"/>
        <v>143</v>
      </c>
      <c r="I9" s="68">
        <f t="shared" si="0"/>
        <v>1967</v>
      </c>
      <c r="J9" s="68">
        <f t="shared" si="0"/>
        <v>2521.6</v>
      </c>
      <c r="K9" s="68">
        <f t="shared" si="0"/>
        <v>12926.4</v>
      </c>
      <c r="L9" s="68">
        <f t="shared" si="0"/>
        <v>26458.999999999996</v>
      </c>
      <c r="M9" s="68">
        <f t="shared" si="0"/>
        <v>760.6</v>
      </c>
      <c r="N9" s="68">
        <f t="shared" si="0"/>
        <v>667.7</v>
      </c>
      <c r="O9" s="68">
        <f t="shared" si="0"/>
        <v>2730</v>
      </c>
      <c r="P9" s="68">
        <f t="shared" si="0"/>
        <v>2114.7</v>
      </c>
      <c r="Q9" s="68">
        <f t="shared" si="0"/>
        <v>2718.2999999999997</v>
      </c>
      <c r="R9" s="68">
        <f t="shared" si="0"/>
        <v>336.20000000000005</v>
      </c>
      <c r="S9" s="68">
        <f t="shared" si="0"/>
        <v>2257</v>
      </c>
      <c r="T9" s="68">
        <f t="shared" si="0"/>
        <v>3792.8999999999996</v>
      </c>
      <c r="U9" s="68">
        <f t="shared" si="0"/>
        <v>62153.59999999999</v>
      </c>
      <c r="V9" s="68">
        <f t="shared" si="0"/>
        <v>5601</v>
      </c>
      <c r="W9" s="68">
        <f t="shared" si="0"/>
        <v>1270.2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133545.3</v>
      </c>
      <c r="AG9" s="69">
        <f>AG10+AG15+AG24+AG33+AG47+AG52+AG54+AG61+AG62+AG71+AG72+AG76+AG88+AG81+AG83+AG82+AG69+AG89+AG91+AG90+AG70+AG40+AG92</f>
        <v>47346.80000000001</v>
      </c>
      <c r="AH9" s="41"/>
      <c r="AI9" s="41"/>
    </row>
    <row r="10" spans="1:33" ht="15">
      <c r="A10" s="4" t="s">
        <v>4</v>
      </c>
      <c r="B10" s="109">
        <v>19680.5</v>
      </c>
      <c r="C10" s="116">
        <v>58.600000000000364</v>
      </c>
      <c r="D10" s="67">
        <v>38.7</v>
      </c>
      <c r="E10" s="67">
        <v>164.7</v>
      </c>
      <c r="F10" s="67">
        <v>18.3</v>
      </c>
      <c r="G10" s="67">
        <v>70.9</v>
      </c>
      <c r="H10" s="67">
        <v>29.7</v>
      </c>
      <c r="I10" s="67">
        <v>34.8</v>
      </c>
      <c r="J10" s="70"/>
      <c r="K10" s="67">
        <v>531.6</v>
      </c>
      <c r="L10" s="67">
        <v>4509.6</v>
      </c>
      <c r="M10" s="67">
        <v>56.1</v>
      </c>
      <c r="N10" s="67">
        <v>8.5</v>
      </c>
      <c r="O10" s="71">
        <v>41</v>
      </c>
      <c r="P10" s="67">
        <v>4</v>
      </c>
      <c r="Q10" s="67">
        <v>52</v>
      </c>
      <c r="R10" s="67">
        <v>75.9</v>
      </c>
      <c r="S10" s="72">
        <v>988.9</v>
      </c>
      <c r="T10" s="72">
        <v>757.7</v>
      </c>
      <c r="U10" s="72">
        <v>5366.6</v>
      </c>
      <c r="V10" s="72">
        <v>3416.7</v>
      </c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16165.7</v>
      </c>
      <c r="AG10" s="71">
        <f>B10+C10-AF10</f>
        <v>3573.399999999998</v>
      </c>
    </row>
    <row r="11" spans="1:33" ht="15">
      <c r="A11" s="3" t="s">
        <v>5</v>
      </c>
      <c r="B11" s="109">
        <f>17936.2+44.3</f>
        <v>17980.5</v>
      </c>
      <c r="C11" s="116">
        <v>33.30000000000109</v>
      </c>
      <c r="D11" s="67">
        <v>37</v>
      </c>
      <c r="E11" s="67">
        <v>143.9</v>
      </c>
      <c r="F11" s="67">
        <v>8.8</v>
      </c>
      <c r="G11" s="67">
        <v>37.8</v>
      </c>
      <c r="H11" s="67">
        <v>16.1</v>
      </c>
      <c r="I11" s="67">
        <v>28.3</v>
      </c>
      <c r="J11" s="72"/>
      <c r="K11" s="67">
        <v>518.4</v>
      </c>
      <c r="L11" s="67">
        <v>4342.6</v>
      </c>
      <c r="M11" s="67"/>
      <c r="N11" s="67"/>
      <c r="O11" s="71">
        <v>40</v>
      </c>
      <c r="P11" s="67"/>
      <c r="Q11" s="67">
        <v>45.8</v>
      </c>
      <c r="R11" s="67"/>
      <c r="S11" s="72">
        <v>973</v>
      </c>
      <c r="T11" s="72">
        <v>734.6</v>
      </c>
      <c r="U11" s="72">
        <v>5248.7</v>
      </c>
      <c r="V11" s="72">
        <v>3382.5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15557.5</v>
      </c>
      <c r="AG11" s="71">
        <f>B11+C11-AF11</f>
        <v>2456.300000000003</v>
      </c>
    </row>
    <row r="12" spans="1:33" ht="15">
      <c r="A12" s="3" t="s">
        <v>2</v>
      </c>
      <c r="B12" s="117">
        <f>661.4+0.3</f>
        <v>661.6999999999999</v>
      </c>
      <c r="C12" s="116">
        <v>0</v>
      </c>
      <c r="D12" s="67"/>
      <c r="E12" s="67"/>
      <c r="F12" s="67"/>
      <c r="G12" s="67"/>
      <c r="H12" s="67">
        <v>3.4</v>
      </c>
      <c r="I12" s="67"/>
      <c r="J12" s="72"/>
      <c r="K12" s="67"/>
      <c r="L12" s="67">
        <v>167</v>
      </c>
      <c r="M12" s="67"/>
      <c r="N12" s="67"/>
      <c r="O12" s="71"/>
      <c r="P12" s="67"/>
      <c r="Q12" s="67"/>
      <c r="R12" s="67">
        <v>1.4</v>
      </c>
      <c r="S12" s="72"/>
      <c r="T12" s="72">
        <v>0.3</v>
      </c>
      <c r="U12" s="72">
        <v>83.5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255.60000000000002</v>
      </c>
      <c r="AG12" s="71">
        <f>B12+C12-AF12</f>
        <v>406.0999999999999</v>
      </c>
    </row>
    <row r="13" spans="1:33" ht="15" hidden="1">
      <c r="A13" s="3" t="s">
        <v>16</v>
      </c>
      <c r="B13" s="109"/>
      <c r="C13" s="116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</row>
    <row r="14" spans="1:33" ht="15">
      <c r="A14" s="3" t="s">
        <v>23</v>
      </c>
      <c r="B14" s="109">
        <f aca="true" t="shared" si="2" ref="B14:Y14">B10-B11-B12-B13</f>
        <v>1038.3000000000002</v>
      </c>
      <c r="C14" s="116">
        <f t="shared" si="2"/>
        <v>25.299999999999272</v>
      </c>
      <c r="D14" s="67">
        <f t="shared" si="2"/>
        <v>1.7000000000000028</v>
      </c>
      <c r="E14" s="67">
        <f t="shared" si="2"/>
        <v>20.799999999999983</v>
      </c>
      <c r="F14" s="67">
        <f t="shared" si="2"/>
        <v>9.5</v>
      </c>
      <c r="G14" s="67">
        <f t="shared" si="2"/>
        <v>33.10000000000001</v>
      </c>
      <c r="H14" s="67">
        <f t="shared" si="2"/>
        <v>10.199999999999998</v>
      </c>
      <c r="I14" s="67">
        <f t="shared" si="2"/>
        <v>6.4999999999999964</v>
      </c>
      <c r="J14" s="67">
        <f t="shared" si="2"/>
        <v>0</v>
      </c>
      <c r="K14" s="67">
        <f t="shared" si="2"/>
        <v>13.200000000000045</v>
      </c>
      <c r="L14" s="67">
        <f t="shared" si="2"/>
        <v>0</v>
      </c>
      <c r="M14" s="67">
        <f t="shared" si="2"/>
        <v>56.1</v>
      </c>
      <c r="N14" s="67">
        <f t="shared" si="2"/>
        <v>8.5</v>
      </c>
      <c r="O14" s="67">
        <f t="shared" si="2"/>
        <v>1</v>
      </c>
      <c r="P14" s="67">
        <f t="shared" si="2"/>
        <v>4</v>
      </c>
      <c r="Q14" s="67">
        <f t="shared" si="2"/>
        <v>6.200000000000003</v>
      </c>
      <c r="R14" s="67">
        <f t="shared" si="2"/>
        <v>74.5</v>
      </c>
      <c r="S14" s="67">
        <f t="shared" si="2"/>
        <v>15.899999999999977</v>
      </c>
      <c r="T14" s="67">
        <f t="shared" si="2"/>
        <v>22.800000000000022</v>
      </c>
      <c r="U14" s="67">
        <f t="shared" si="2"/>
        <v>34.400000000000546</v>
      </c>
      <c r="V14" s="67">
        <f t="shared" si="2"/>
        <v>34.19999999999982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352.6000000000004</v>
      </c>
      <c r="AG14" s="71">
        <f>AG10-AG11-AG12-AG13</f>
        <v>710.999999999995</v>
      </c>
    </row>
    <row r="15" spans="1:35" ht="15" customHeight="1">
      <c r="A15" s="4" t="s">
        <v>6</v>
      </c>
      <c r="B15" s="109">
        <f>68651.3+19179.6</f>
        <v>87830.9</v>
      </c>
      <c r="C15" s="116">
        <v>23.70000000001164</v>
      </c>
      <c r="D15" s="73"/>
      <c r="E15" s="73">
        <v>151.3</v>
      </c>
      <c r="F15" s="67">
        <v>0.7</v>
      </c>
      <c r="G15" s="67">
        <v>306.3</v>
      </c>
      <c r="H15" s="67"/>
      <c r="I15" s="67">
        <v>593.7</v>
      </c>
      <c r="J15" s="72">
        <v>110</v>
      </c>
      <c r="K15" s="67">
        <f>1396.3+9132.6</f>
        <v>10528.9</v>
      </c>
      <c r="L15" s="67">
        <v>10728.8</v>
      </c>
      <c r="M15" s="67">
        <v>272.5</v>
      </c>
      <c r="N15" s="67">
        <v>616.2</v>
      </c>
      <c r="O15" s="71">
        <v>58.8</v>
      </c>
      <c r="P15" s="67">
        <v>521.9</v>
      </c>
      <c r="Q15" s="71"/>
      <c r="R15" s="67">
        <v>257.8</v>
      </c>
      <c r="S15" s="72">
        <v>1268.1</v>
      </c>
      <c r="T15" s="72">
        <v>880.8</v>
      </c>
      <c r="U15" s="72">
        <f>27792.6+9963.6</f>
        <v>37756.2</v>
      </c>
      <c r="V15" s="72">
        <v>1287.2</v>
      </c>
      <c r="W15" s="72">
        <v>1.6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65340.79999999999</v>
      </c>
      <c r="AG15" s="71">
        <f aca="true" t="shared" si="3" ref="AG15:AG31">B15+C15-AF15</f>
        <v>22513.800000000017</v>
      </c>
      <c r="AI15" s="86"/>
    </row>
    <row r="16" spans="1:34" s="53" customFormat="1" ht="15" customHeight="1">
      <c r="A16" s="51" t="s">
        <v>38</v>
      </c>
      <c r="B16" s="122">
        <v>19179.6</v>
      </c>
      <c r="C16" s="123">
        <v>21.69999999999709</v>
      </c>
      <c r="D16" s="74"/>
      <c r="E16" s="74"/>
      <c r="F16" s="75"/>
      <c r="G16" s="75"/>
      <c r="H16" s="75"/>
      <c r="I16" s="75"/>
      <c r="J16" s="76"/>
      <c r="K16" s="75">
        <v>9132.6</v>
      </c>
      <c r="L16" s="75"/>
      <c r="M16" s="75"/>
      <c r="N16" s="75"/>
      <c r="O16" s="77"/>
      <c r="P16" s="75"/>
      <c r="Q16" s="77"/>
      <c r="R16" s="75"/>
      <c r="S16" s="76"/>
      <c r="T16" s="76"/>
      <c r="U16" s="76">
        <v>9963.6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19096.2</v>
      </c>
      <c r="AG16" s="78">
        <f t="shared" si="3"/>
        <v>105.0999999999949</v>
      </c>
      <c r="AH16" s="57"/>
    </row>
    <row r="17" spans="1:34" ht="15">
      <c r="A17" s="3" t="s">
        <v>5</v>
      </c>
      <c r="B17" s="109">
        <v>53788.5</v>
      </c>
      <c r="C17" s="116">
        <v>23</v>
      </c>
      <c r="D17" s="67"/>
      <c r="E17" s="67"/>
      <c r="F17" s="67"/>
      <c r="G17" s="67"/>
      <c r="H17" s="67"/>
      <c r="I17" s="67"/>
      <c r="J17" s="72"/>
      <c r="K17" s="67">
        <f>963.8+9132.6</f>
        <v>10096.4</v>
      </c>
      <c r="L17" s="67">
        <v>10728.8</v>
      </c>
      <c r="M17" s="67"/>
      <c r="N17" s="67"/>
      <c r="O17" s="71"/>
      <c r="P17" s="67"/>
      <c r="Q17" s="71"/>
      <c r="R17" s="67"/>
      <c r="S17" s="72"/>
      <c r="T17" s="72"/>
      <c r="U17" s="72">
        <f>20670.9+9963.6</f>
        <v>30634.5</v>
      </c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51459.7</v>
      </c>
      <c r="AG17" s="71">
        <f t="shared" si="3"/>
        <v>2351.800000000003</v>
      </c>
      <c r="AH17" s="6"/>
    </row>
    <row r="18" spans="1:33" ht="15">
      <c r="A18" s="3" t="s">
        <v>3</v>
      </c>
      <c r="B18" s="109">
        <v>0</v>
      </c>
      <c r="C18" s="116">
        <v>0</v>
      </c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1">
        <f t="shared" si="3"/>
        <v>0</v>
      </c>
    </row>
    <row r="19" spans="1:33" ht="15">
      <c r="A19" s="3" t="s">
        <v>1</v>
      </c>
      <c r="B19" s="109">
        <v>8614.7</v>
      </c>
      <c r="C19" s="116">
        <v>0.0999999999999659</v>
      </c>
      <c r="D19" s="67"/>
      <c r="E19" s="67">
        <v>85.8</v>
      </c>
      <c r="F19" s="67"/>
      <c r="G19" s="67">
        <v>204.3</v>
      </c>
      <c r="H19" s="67"/>
      <c r="I19" s="67">
        <v>521.2</v>
      </c>
      <c r="J19" s="72">
        <v>87.9</v>
      </c>
      <c r="K19" s="67">
        <v>293.2</v>
      </c>
      <c r="L19" s="67"/>
      <c r="M19" s="67">
        <v>244.8</v>
      </c>
      <c r="N19" s="67">
        <v>269.9</v>
      </c>
      <c r="O19" s="71">
        <v>23.7</v>
      </c>
      <c r="P19" s="67">
        <v>37.8</v>
      </c>
      <c r="Q19" s="71"/>
      <c r="R19" s="67">
        <v>76.9</v>
      </c>
      <c r="S19" s="72">
        <v>443.5</v>
      </c>
      <c r="T19" s="72">
        <v>72.7</v>
      </c>
      <c r="U19" s="72">
        <v>206</v>
      </c>
      <c r="V19" s="72">
        <v>64</v>
      </c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2631.7</v>
      </c>
      <c r="AG19" s="71">
        <f t="shared" si="3"/>
        <v>5983.100000000001</v>
      </c>
    </row>
    <row r="20" spans="1:33" ht="15">
      <c r="A20" s="3" t="s">
        <v>2</v>
      </c>
      <c r="B20" s="109">
        <v>23389.5</v>
      </c>
      <c r="C20" s="116">
        <v>0.599999999999909</v>
      </c>
      <c r="D20" s="67"/>
      <c r="E20" s="67">
        <v>64.1</v>
      </c>
      <c r="F20" s="67">
        <v>0.7</v>
      </c>
      <c r="G20" s="67">
        <v>97.8</v>
      </c>
      <c r="H20" s="67"/>
      <c r="I20" s="67">
        <v>43.1</v>
      </c>
      <c r="J20" s="72">
        <v>15</v>
      </c>
      <c r="K20" s="67">
        <v>139.1</v>
      </c>
      <c r="L20" s="67"/>
      <c r="M20" s="67">
        <v>27.1</v>
      </c>
      <c r="N20" s="67"/>
      <c r="O20" s="71">
        <v>31.6</v>
      </c>
      <c r="P20" s="67">
        <v>324.4</v>
      </c>
      <c r="Q20" s="71"/>
      <c r="R20" s="67">
        <v>180.4</v>
      </c>
      <c r="S20" s="72">
        <v>824.6</v>
      </c>
      <c r="T20" s="72">
        <v>269.5</v>
      </c>
      <c r="U20" s="72">
        <v>6895.2</v>
      </c>
      <c r="V20" s="72">
        <v>1223.2</v>
      </c>
      <c r="W20" s="72">
        <v>1.6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10137.400000000001</v>
      </c>
      <c r="AG20" s="71">
        <f t="shared" si="3"/>
        <v>13252.699999999997</v>
      </c>
    </row>
    <row r="21" spans="1:33" ht="15">
      <c r="A21" s="3" t="s">
        <v>16</v>
      </c>
      <c r="B21" s="109">
        <v>1154.9</v>
      </c>
      <c r="C21" s="116">
        <v>0</v>
      </c>
      <c r="D21" s="67"/>
      <c r="E21" s="67"/>
      <c r="F21" s="67"/>
      <c r="G21" s="67"/>
      <c r="H21" s="67"/>
      <c r="I21" s="67"/>
      <c r="J21" s="72"/>
      <c r="K21" s="67"/>
      <c r="L21" s="67"/>
      <c r="M21" s="67"/>
      <c r="N21" s="67">
        <v>346.3</v>
      </c>
      <c r="O21" s="71"/>
      <c r="P21" s="67">
        <v>159.7</v>
      </c>
      <c r="Q21" s="71"/>
      <c r="R21" s="67"/>
      <c r="S21" s="72"/>
      <c r="T21" s="72">
        <v>538.5</v>
      </c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1044.5</v>
      </c>
      <c r="AG21" s="71">
        <f t="shared" si="3"/>
        <v>110.40000000000009</v>
      </c>
    </row>
    <row r="22" spans="1:33" ht="15" hidden="1">
      <c r="A22" s="3" t="s">
        <v>15</v>
      </c>
      <c r="B22" s="119"/>
      <c r="C22" s="116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1">
        <f t="shared" si="3"/>
        <v>0</v>
      </c>
    </row>
    <row r="23" spans="1:33" ht="15">
      <c r="A23" s="3" t="s">
        <v>23</v>
      </c>
      <c r="B23" s="109">
        <f aca="true" t="shared" si="4" ref="B23:AD23">B15-B17-B18-B19-B20-B21-B22</f>
        <v>883.2999999999934</v>
      </c>
      <c r="C23" s="116">
        <f t="shared" si="4"/>
        <v>1.1766587704187259E-11</v>
      </c>
      <c r="D23" s="67">
        <f t="shared" si="4"/>
        <v>0</v>
      </c>
      <c r="E23" s="67">
        <f t="shared" si="4"/>
        <v>1.40000000000002</v>
      </c>
      <c r="F23" s="67">
        <f t="shared" si="4"/>
        <v>0</v>
      </c>
      <c r="G23" s="67">
        <f t="shared" si="4"/>
        <v>4.200000000000003</v>
      </c>
      <c r="H23" s="67">
        <f t="shared" si="4"/>
        <v>0</v>
      </c>
      <c r="I23" s="67">
        <f t="shared" si="4"/>
        <v>29.4</v>
      </c>
      <c r="J23" s="67">
        <f t="shared" si="4"/>
        <v>7.099999999999994</v>
      </c>
      <c r="K23" s="67">
        <f t="shared" si="4"/>
        <v>0.20000000000001705</v>
      </c>
      <c r="L23" s="67">
        <f t="shared" si="4"/>
        <v>0</v>
      </c>
      <c r="M23" s="67">
        <f t="shared" si="4"/>
        <v>0.5999999999999872</v>
      </c>
      <c r="N23" s="67">
        <f t="shared" si="4"/>
        <v>5.684341886080802E-14</v>
      </c>
      <c r="O23" s="67">
        <f t="shared" si="4"/>
        <v>3.499999999999993</v>
      </c>
      <c r="P23" s="67">
        <f t="shared" si="4"/>
        <v>0</v>
      </c>
      <c r="Q23" s="67">
        <f t="shared" si="4"/>
        <v>0</v>
      </c>
      <c r="R23" s="67">
        <f t="shared" si="4"/>
        <v>0.5</v>
      </c>
      <c r="S23" s="67">
        <f t="shared" si="4"/>
        <v>-1.1368683772161603E-13</v>
      </c>
      <c r="T23" s="67">
        <f t="shared" si="4"/>
        <v>0.09999999999990905</v>
      </c>
      <c r="U23" s="67">
        <f t="shared" si="4"/>
        <v>20.49999999999727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67.49999999999713</v>
      </c>
      <c r="AG23" s="71">
        <f t="shared" si="3"/>
        <v>815.800000000008</v>
      </c>
    </row>
    <row r="24" spans="1:35" ht="15" customHeight="1">
      <c r="A24" s="4" t="s">
        <v>7</v>
      </c>
      <c r="B24" s="109">
        <v>33467.7</v>
      </c>
      <c r="C24" s="116">
        <v>7185.799999999999</v>
      </c>
      <c r="D24" s="67">
        <v>107.8</v>
      </c>
      <c r="E24" s="67">
        <v>99.9</v>
      </c>
      <c r="F24" s="67">
        <f>131.7+68</f>
        <v>199.7</v>
      </c>
      <c r="G24" s="67"/>
      <c r="H24" s="67"/>
      <c r="I24" s="67"/>
      <c r="J24" s="72">
        <f>568.1+670.4</f>
        <v>1238.5</v>
      </c>
      <c r="K24" s="67">
        <f>12.4+333.8</f>
        <v>346.2</v>
      </c>
      <c r="L24" s="67">
        <v>10669.5</v>
      </c>
      <c r="M24" s="67"/>
      <c r="N24" s="67"/>
      <c r="O24" s="71">
        <v>2627.5</v>
      </c>
      <c r="P24" s="67">
        <v>1015</v>
      </c>
      <c r="Q24" s="71"/>
      <c r="R24" s="71">
        <v>0.9</v>
      </c>
      <c r="S24" s="72"/>
      <c r="T24" s="72">
        <f>691.6+930.5</f>
        <v>1622.1</v>
      </c>
      <c r="U24" s="72">
        <f>6776.6+9161.8</f>
        <v>15938.4</v>
      </c>
      <c r="V24" s="72">
        <v>16.3</v>
      </c>
      <c r="W24" s="72">
        <v>11.4</v>
      </c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33893.200000000004</v>
      </c>
      <c r="AG24" s="71">
        <f t="shared" si="3"/>
        <v>6760.299999999996</v>
      </c>
      <c r="AI24" s="86"/>
    </row>
    <row r="25" spans="1:34" s="53" customFormat="1" ht="15" customHeight="1">
      <c r="A25" s="51" t="s">
        <v>39</v>
      </c>
      <c r="B25" s="122">
        <v>22002.9</v>
      </c>
      <c r="C25" s="123">
        <v>2681.399999999998</v>
      </c>
      <c r="D25" s="75">
        <v>107.8</v>
      </c>
      <c r="E25" s="75">
        <v>99.9</v>
      </c>
      <c r="F25" s="75">
        <v>68</v>
      </c>
      <c r="G25" s="75"/>
      <c r="H25" s="75"/>
      <c r="I25" s="75"/>
      <c r="J25" s="76">
        <v>670.4</v>
      </c>
      <c r="K25" s="75">
        <v>333.8</v>
      </c>
      <c r="L25" s="75">
        <v>10669.5</v>
      </c>
      <c r="M25" s="75"/>
      <c r="N25" s="75"/>
      <c r="O25" s="77">
        <v>517.6</v>
      </c>
      <c r="P25" s="75">
        <v>20</v>
      </c>
      <c r="Q25" s="77"/>
      <c r="R25" s="77">
        <v>0.9</v>
      </c>
      <c r="S25" s="76"/>
      <c r="T25" s="76">
        <v>930.5</v>
      </c>
      <c r="U25" s="76">
        <v>9161.8</v>
      </c>
      <c r="V25" s="76">
        <v>16.3</v>
      </c>
      <c r="W25" s="76">
        <v>11.4</v>
      </c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22607.899999999998</v>
      </c>
      <c r="AG25" s="78">
        <f t="shared" si="3"/>
        <v>2076.4000000000015</v>
      </c>
      <c r="AH25" s="57"/>
    </row>
    <row r="26" spans="1:34" ht="15" hidden="1">
      <c r="A26" s="3" t="s">
        <v>5</v>
      </c>
      <c r="B26" s="109"/>
      <c r="C26" s="116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1">
        <f t="shared" si="3"/>
        <v>0</v>
      </c>
      <c r="AH26" s="6"/>
    </row>
    <row r="27" spans="1:33" ht="15" hidden="1">
      <c r="A27" s="3" t="s">
        <v>3</v>
      </c>
      <c r="B27" s="109"/>
      <c r="C27" s="116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1">
        <f t="shared" si="3"/>
        <v>0</v>
      </c>
    </row>
    <row r="28" spans="1:33" ht="15" hidden="1">
      <c r="A28" s="3" t="s">
        <v>1</v>
      </c>
      <c r="B28" s="109"/>
      <c r="C28" s="116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1">
        <f t="shared" si="3"/>
        <v>0</v>
      </c>
    </row>
    <row r="29" spans="1:33" ht="15" hidden="1">
      <c r="A29" s="3" t="s">
        <v>2</v>
      </c>
      <c r="B29" s="109"/>
      <c r="C29" s="116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1">
        <f t="shared" si="3"/>
        <v>0</v>
      </c>
    </row>
    <row r="30" spans="1:33" ht="15" hidden="1">
      <c r="A30" s="3" t="s">
        <v>16</v>
      </c>
      <c r="B30" s="109"/>
      <c r="C30" s="116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1">
        <f t="shared" si="3"/>
        <v>0</v>
      </c>
    </row>
    <row r="31" spans="1:33" ht="15" hidden="1">
      <c r="A31" s="3" t="s">
        <v>15</v>
      </c>
      <c r="B31" s="109"/>
      <c r="C31" s="116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1">
        <f t="shared" si="3"/>
        <v>0</v>
      </c>
    </row>
    <row r="32" spans="1:33" ht="15">
      <c r="A32" s="3" t="s">
        <v>23</v>
      </c>
      <c r="B32" s="109">
        <f>B24</f>
        <v>33467.7</v>
      </c>
      <c r="C32" s="116">
        <f aca="true" t="shared" si="5" ref="C32:AD32">C24-C26-C27-C28-C29-C30-C31</f>
        <v>7185.799999999999</v>
      </c>
      <c r="D32" s="67">
        <f t="shared" si="5"/>
        <v>107.8</v>
      </c>
      <c r="E32" s="67">
        <f t="shared" si="5"/>
        <v>99.9</v>
      </c>
      <c r="F32" s="67">
        <f t="shared" si="5"/>
        <v>199.7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1238.5</v>
      </c>
      <c r="K32" s="67">
        <f t="shared" si="5"/>
        <v>346.2</v>
      </c>
      <c r="L32" s="67">
        <f t="shared" si="5"/>
        <v>10669.5</v>
      </c>
      <c r="M32" s="67">
        <f t="shared" si="5"/>
        <v>0</v>
      </c>
      <c r="N32" s="67">
        <f t="shared" si="5"/>
        <v>0</v>
      </c>
      <c r="O32" s="67">
        <f t="shared" si="5"/>
        <v>2627.5</v>
      </c>
      <c r="P32" s="67">
        <f t="shared" si="5"/>
        <v>1015</v>
      </c>
      <c r="Q32" s="67">
        <f t="shared" si="5"/>
        <v>0</v>
      </c>
      <c r="R32" s="67">
        <f t="shared" si="5"/>
        <v>0.9</v>
      </c>
      <c r="S32" s="67">
        <f t="shared" si="5"/>
        <v>0</v>
      </c>
      <c r="T32" s="67">
        <f t="shared" si="5"/>
        <v>1622.1</v>
      </c>
      <c r="U32" s="67">
        <f t="shared" si="5"/>
        <v>15938.4</v>
      </c>
      <c r="V32" s="67">
        <f t="shared" si="5"/>
        <v>16.3</v>
      </c>
      <c r="W32" s="67">
        <f t="shared" si="5"/>
        <v>11.4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33893.200000000004</v>
      </c>
      <c r="AG32" s="71">
        <f>AG24</f>
        <v>6760.299999999996</v>
      </c>
    </row>
    <row r="33" spans="1:33" ht="15" customHeight="1">
      <c r="A33" s="4" t="s">
        <v>8</v>
      </c>
      <c r="B33" s="109">
        <v>358.6</v>
      </c>
      <c r="C33" s="116">
        <v>0</v>
      </c>
      <c r="D33" s="67"/>
      <c r="E33" s="67"/>
      <c r="F33" s="67"/>
      <c r="G33" s="67"/>
      <c r="H33" s="67"/>
      <c r="I33" s="67">
        <v>43.2</v>
      </c>
      <c r="J33" s="72"/>
      <c r="K33" s="67">
        <v>40.5</v>
      </c>
      <c r="L33" s="67"/>
      <c r="M33" s="67">
        <v>47.6</v>
      </c>
      <c r="N33" s="67"/>
      <c r="O33" s="71"/>
      <c r="P33" s="67">
        <v>13</v>
      </c>
      <c r="Q33" s="71"/>
      <c r="R33" s="67"/>
      <c r="S33" s="72"/>
      <c r="T33" s="72"/>
      <c r="U33" s="72">
        <v>155.9</v>
      </c>
      <c r="V33" s="72">
        <v>18</v>
      </c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318.20000000000005</v>
      </c>
      <c r="AG33" s="71">
        <f aca="true" t="shared" si="6" ref="AG33:AG38">B33+C33-AF33</f>
        <v>40.39999999999998</v>
      </c>
    </row>
    <row r="34" spans="1:33" ht="15">
      <c r="A34" s="3" t="s">
        <v>5</v>
      </c>
      <c r="B34" s="109">
        <v>254.7</v>
      </c>
      <c r="C34" s="116">
        <v>0</v>
      </c>
      <c r="D34" s="67"/>
      <c r="E34" s="67"/>
      <c r="F34" s="67"/>
      <c r="G34" s="67"/>
      <c r="H34" s="67"/>
      <c r="I34" s="67"/>
      <c r="J34" s="72"/>
      <c r="K34" s="67">
        <v>40.5</v>
      </c>
      <c r="L34" s="67"/>
      <c r="M34" s="67">
        <v>47.3</v>
      </c>
      <c r="N34" s="67"/>
      <c r="O34" s="67"/>
      <c r="P34" s="67"/>
      <c r="Q34" s="71"/>
      <c r="R34" s="67"/>
      <c r="S34" s="72"/>
      <c r="T34" s="72"/>
      <c r="U34" s="72">
        <v>155.9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243.7</v>
      </c>
      <c r="AG34" s="71">
        <f t="shared" si="6"/>
        <v>11</v>
      </c>
    </row>
    <row r="35" spans="1:33" ht="15" hidden="1">
      <c r="A35" s="3" t="s">
        <v>1</v>
      </c>
      <c r="B35" s="109"/>
      <c r="C35" s="116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1">
        <f t="shared" si="6"/>
        <v>0</v>
      </c>
    </row>
    <row r="36" spans="1:33" ht="15">
      <c r="A36" s="3" t="s">
        <v>2</v>
      </c>
      <c r="B36" s="119">
        <v>76.2</v>
      </c>
      <c r="C36" s="116">
        <v>0</v>
      </c>
      <c r="D36" s="67"/>
      <c r="E36" s="67"/>
      <c r="F36" s="67"/>
      <c r="G36" s="67"/>
      <c r="H36" s="67"/>
      <c r="I36" s="67">
        <v>43.2</v>
      </c>
      <c r="J36" s="72"/>
      <c r="K36" s="67"/>
      <c r="L36" s="67"/>
      <c r="M36" s="67"/>
      <c r="N36" s="67"/>
      <c r="O36" s="71"/>
      <c r="P36" s="67">
        <v>13</v>
      </c>
      <c r="Q36" s="71"/>
      <c r="R36" s="67">
        <v>-3</v>
      </c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53.2</v>
      </c>
      <c r="AG36" s="71">
        <f t="shared" si="6"/>
        <v>23</v>
      </c>
    </row>
    <row r="37" spans="1:33" ht="15">
      <c r="A37" s="3" t="s">
        <v>16</v>
      </c>
      <c r="B37" s="109">
        <v>0</v>
      </c>
      <c r="C37" s="116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1">
        <f t="shared" si="6"/>
        <v>0</v>
      </c>
    </row>
    <row r="38" spans="1:33" ht="15" hidden="1">
      <c r="A38" s="3" t="s">
        <v>15</v>
      </c>
      <c r="B38" s="109"/>
      <c r="C38" s="116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1">
        <f t="shared" si="6"/>
        <v>0</v>
      </c>
    </row>
    <row r="39" spans="1:33" ht="15">
      <c r="A39" s="3" t="s">
        <v>23</v>
      </c>
      <c r="B39" s="109">
        <f aca="true" t="shared" si="7" ref="B39:AD39">B33-B34-B36-B38-B37-B35</f>
        <v>27.70000000000003</v>
      </c>
      <c r="C39" s="116">
        <f t="shared" si="7"/>
        <v>0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67">
        <f t="shared" si="7"/>
        <v>0.30000000000000426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3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18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21.300000000000004</v>
      </c>
      <c r="AG39" s="71">
        <f>AG33-AG34-AG36-AG38-AG35-AG37</f>
        <v>6.399999999999977</v>
      </c>
    </row>
    <row r="40" spans="1:33" ht="15" customHeight="1">
      <c r="A40" s="4" t="s">
        <v>29</v>
      </c>
      <c r="B40" s="109">
        <v>1252.9</v>
      </c>
      <c r="C40" s="116">
        <v>0</v>
      </c>
      <c r="D40" s="67"/>
      <c r="E40" s="67"/>
      <c r="F40" s="67"/>
      <c r="G40" s="67"/>
      <c r="H40" s="67">
        <v>52.3</v>
      </c>
      <c r="I40" s="67"/>
      <c r="J40" s="72"/>
      <c r="K40" s="67"/>
      <c r="L40" s="67"/>
      <c r="M40" s="67">
        <v>349.2</v>
      </c>
      <c r="N40" s="67"/>
      <c r="O40" s="71"/>
      <c r="P40" s="67"/>
      <c r="Q40" s="71"/>
      <c r="R40" s="71"/>
      <c r="S40" s="72"/>
      <c r="T40" s="72"/>
      <c r="U40" s="72">
        <v>679.9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1081.4</v>
      </c>
      <c r="AG40" s="71">
        <f aca="true" t="shared" si="8" ref="AG40:AG45">B40+C40-AF40</f>
        <v>171.5</v>
      </c>
    </row>
    <row r="41" spans="1:34" ht="15">
      <c r="A41" s="3" t="s">
        <v>5</v>
      </c>
      <c r="B41" s="109">
        <v>1044.2</v>
      </c>
      <c r="C41" s="116">
        <v>0</v>
      </c>
      <c r="D41" s="67"/>
      <c r="E41" s="67"/>
      <c r="F41" s="67"/>
      <c r="G41" s="67"/>
      <c r="H41" s="67"/>
      <c r="I41" s="67"/>
      <c r="J41" s="72"/>
      <c r="K41" s="67"/>
      <c r="L41" s="67"/>
      <c r="M41" s="67">
        <v>334.1</v>
      </c>
      <c r="N41" s="67"/>
      <c r="O41" s="71"/>
      <c r="P41" s="67"/>
      <c r="Q41" s="67"/>
      <c r="R41" s="67"/>
      <c r="S41" s="72"/>
      <c r="T41" s="72"/>
      <c r="U41" s="72">
        <v>652.5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986.6</v>
      </c>
      <c r="AG41" s="71">
        <f t="shared" si="8"/>
        <v>57.60000000000002</v>
      </c>
      <c r="AH41" s="6"/>
    </row>
    <row r="42" spans="1:33" ht="15">
      <c r="A42" s="3" t="s">
        <v>3</v>
      </c>
      <c r="B42" s="109">
        <v>0</v>
      </c>
      <c r="C42" s="116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1">
        <f t="shared" si="8"/>
        <v>0</v>
      </c>
    </row>
    <row r="43" spans="1:33" ht="15">
      <c r="A43" s="3" t="s">
        <v>1</v>
      </c>
      <c r="B43" s="109">
        <v>10.1</v>
      </c>
      <c r="C43" s="116">
        <v>0</v>
      </c>
      <c r="D43" s="67"/>
      <c r="E43" s="67"/>
      <c r="F43" s="67"/>
      <c r="G43" s="67"/>
      <c r="H43" s="67"/>
      <c r="I43" s="67"/>
      <c r="J43" s="72"/>
      <c r="K43" s="67"/>
      <c r="L43" s="67"/>
      <c r="M43" s="67">
        <v>5.7</v>
      </c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5.7</v>
      </c>
      <c r="AG43" s="71">
        <f t="shared" si="8"/>
        <v>4.3999999999999995</v>
      </c>
    </row>
    <row r="44" spans="1:33" ht="15">
      <c r="A44" s="3" t="s">
        <v>2</v>
      </c>
      <c r="B44" s="109">
        <v>166.4</v>
      </c>
      <c r="C44" s="116">
        <v>0</v>
      </c>
      <c r="D44" s="67"/>
      <c r="E44" s="67"/>
      <c r="F44" s="67"/>
      <c r="G44" s="67"/>
      <c r="H44" s="67">
        <v>51.9</v>
      </c>
      <c r="I44" s="67"/>
      <c r="J44" s="72"/>
      <c r="K44" s="67"/>
      <c r="L44" s="67"/>
      <c r="M44" s="67"/>
      <c r="N44" s="67"/>
      <c r="O44" s="71"/>
      <c r="P44" s="67"/>
      <c r="Q44" s="67"/>
      <c r="R44" s="67"/>
      <c r="S44" s="72"/>
      <c r="T44" s="72"/>
      <c r="U44" s="72">
        <v>12.7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64.6</v>
      </c>
      <c r="AG44" s="71">
        <f t="shared" si="8"/>
        <v>101.80000000000001</v>
      </c>
    </row>
    <row r="45" spans="1:33" ht="15" hidden="1">
      <c r="A45" s="3" t="s">
        <v>15</v>
      </c>
      <c r="B45" s="109"/>
      <c r="C45" s="116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1">
        <f t="shared" si="8"/>
        <v>0</v>
      </c>
    </row>
    <row r="46" spans="1:33" ht="15">
      <c r="A46" s="3" t="s">
        <v>23</v>
      </c>
      <c r="B46" s="109">
        <f aca="true" t="shared" si="9" ref="B46:AD46">B40-B41-B42-B43-B44-B45</f>
        <v>32.200000000000045</v>
      </c>
      <c r="C46" s="116">
        <f t="shared" si="9"/>
        <v>0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0.3999999999999986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0</v>
      </c>
      <c r="M46" s="67">
        <f t="shared" si="9"/>
        <v>9.399999999999967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14.699999999999978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24.499999999999943</v>
      </c>
      <c r="AG46" s="71">
        <f>AG40-AG41-AG42-AG43-AG44-AG45</f>
        <v>7.69999999999996</v>
      </c>
    </row>
    <row r="47" spans="1:33" ht="17.25" customHeight="1">
      <c r="A47" s="4" t="s">
        <v>43</v>
      </c>
      <c r="B47" s="117">
        <v>1215.7</v>
      </c>
      <c r="C47" s="116">
        <v>0</v>
      </c>
      <c r="D47" s="67"/>
      <c r="E47" s="79"/>
      <c r="F47" s="79"/>
      <c r="G47" s="79"/>
      <c r="H47" s="79"/>
      <c r="I47" s="79">
        <v>51.6</v>
      </c>
      <c r="J47" s="80"/>
      <c r="K47" s="79"/>
      <c r="L47" s="79">
        <v>143.8</v>
      </c>
      <c r="M47" s="79"/>
      <c r="N47" s="79">
        <v>13.5</v>
      </c>
      <c r="O47" s="81"/>
      <c r="P47" s="79"/>
      <c r="Q47" s="79">
        <v>25.2</v>
      </c>
      <c r="R47" s="79"/>
      <c r="S47" s="80"/>
      <c r="T47" s="80">
        <v>149.6</v>
      </c>
      <c r="U47" s="79">
        <v>13.2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396.9</v>
      </c>
      <c r="AG47" s="71">
        <f>B47+C47-AF47</f>
        <v>818.8000000000001</v>
      </c>
    </row>
    <row r="48" spans="1:33" ht="15" hidden="1">
      <c r="A48" s="3" t="s">
        <v>5</v>
      </c>
      <c r="B48" s="109"/>
      <c r="C48" s="116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1">
        <f>B48+C48-AF48</f>
        <v>0</v>
      </c>
    </row>
    <row r="49" spans="1:33" ht="15">
      <c r="A49" s="3" t="s">
        <v>16</v>
      </c>
      <c r="B49" s="109">
        <v>1094.2</v>
      </c>
      <c r="C49" s="116">
        <v>0</v>
      </c>
      <c r="D49" s="67"/>
      <c r="E49" s="67"/>
      <c r="F49" s="67"/>
      <c r="G49" s="67"/>
      <c r="H49" s="67"/>
      <c r="I49" s="67">
        <v>51.6</v>
      </c>
      <c r="J49" s="72"/>
      <c r="K49" s="67"/>
      <c r="L49" s="67">
        <v>143.7</v>
      </c>
      <c r="M49" s="67"/>
      <c r="N49" s="67">
        <v>13.5</v>
      </c>
      <c r="O49" s="71"/>
      <c r="P49" s="67"/>
      <c r="Q49" s="67">
        <v>25.2</v>
      </c>
      <c r="R49" s="67"/>
      <c r="S49" s="72"/>
      <c r="T49" s="72">
        <v>149.6</v>
      </c>
      <c r="U49" s="67">
        <v>13.2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396.79999999999995</v>
      </c>
      <c r="AG49" s="71">
        <f>B49+C49-AF49</f>
        <v>697.4000000000001</v>
      </c>
    </row>
    <row r="50" spans="1:33" ht="28.5" hidden="1">
      <c r="A50" s="49" t="s">
        <v>34</v>
      </c>
      <c r="B50" s="109"/>
      <c r="C50" s="116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1">
        <f>B50+C50-AF50</f>
        <v>0</v>
      </c>
    </row>
    <row r="51" spans="1:33" ht="15">
      <c r="A51" s="48" t="s">
        <v>23</v>
      </c>
      <c r="B51" s="109">
        <f aca="true" t="shared" si="10" ref="B51:AD51">B47-B48-B49</f>
        <v>121.5</v>
      </c>
      <c r="C51" s="116">
        <f t="shared" si="10"/>
        <v>0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0.10000000000002274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0.10000000000002274</v>
      </c>
      <c r="AG51" s="71">
        <f>AG47-AG49-AG48</f>
        <v>121.39999999999998</v>
      </c>
    </row>
    <row r="52" spans="1:33" ht="15" customHeight="1">
      <c r="A52" s="4" t="s">
        <v>0</v>
      </c>
      <c r="B52" s="109">
        <v>3904</v>
      </c>
      <c r="C52" s="116">
        <v>1056.5</v>
      </c>
      <c r="D52" s="67"/>
      <c r="E52" s="67">
        <v>510.7</v>
      </c>
      <c r="F52" s="67">
        <v>28.2</v>
      </c>
      <c r="G52" s="67"/>
      <c r="H52" s="67">
        <v>0.5</v>
      </c>
      <c r="I52" s="67">
        <v>182.1</v>
      </c>
      <c r="J52" s="72"/>
      <c r="K52" s="67"/>
      <c r="L52" s="67">
        <v>337.6</v>
      </c>
      <c r="M52" s="67">
        <v>34.8</v>
      </c>
      <c r="N52" s="67"/>
      <c r="O52" s="71"/>
      <c r="P52" s="67"/>
      <c r="Q52" s="67"/>
      <c r="R52" s="67"/>
      <c r="S52" s="72"/>
      <c r="T52" s="72">
        <v>102.9</v>
      </c>
      <c r="U52" s="72"/>
      <c r="V52" s="72">
        <v>588.2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1785</v>
      </c>
      <c r="AG52" s="71">
        <f aca="true" t="shared" si="11" ref="AG52:AG59">B52+C52-AF52</f>
        <v>3175.5</v>
      </c>
    </row>
    <row r="53" spans="1:33" ht="15" customHeight="1">
      <c r="A53" s="3" t="s">
        <v>2</v>
      </c>
      <c r="B53" s="109">
        <v>1258.2</v>
      </c>
      <c r="C53" s="116">
        <v>0.10000000000013642</v>
      </c>
      <c r="D53" s="67"/>
      <c r="E53" s="67">
        <v>3.4</v>
      </c>
      <c r="F53" s="67"/>
      <c r="G53" s="67"/>
      <c r="H53" s="67">
        <v>0.5</v>
      </c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/>
      <c r="T53" s="72"/>
      <c r="U53" s="72"/>
      <c r="V53" s="72">
        <v>79.6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83.5</v>
      </c>
      <c r="AG53" s="71">
        <f t="shared" si="11"/>
        <v>1174.8000000000002</v>
      </c>
    </row>
    <row r="54" spans="1:34" ht="15" customHeight="1">
      <c r="A54" s="4" t="s">
        <v>9</v>
      </c>
      <c r="B54" s="119">
        <v>2518.8</v>
      </c>
      <c r="C54" s="116">
        <v>0</v>
      </c>
      <c r="D54" s="67"/>
      <c r="E54" s="67">
        <v>164.7</v>
      </c>
      <c r="F54" s="67"/>
      <c r="G54" s="67">
        <v>15</v>
      </c>
      <c r="H54" s="67"/>
      <c r="I54" s="67">
        <v>5.1</v>
      </c>
      <c r="J54" s="72"/>
      <c r="K54" s="67">
        <v>531</v>
      </c>
      <c r="L54" s="67">
        <v>54.3</v>
      </c>
      <c r="M54" s="67"/>
      <c r="N54" s="67"/>
      <c r="O54" s="71">
        <v>2.5</v>
      </c>
      <c r="P54" s="67">
        <v>15.8</v>
      </c>
      <c r="Q54" s="71">
        <v>202.7</v>
      </c>
      <c r="R54" s="67">
        <v>1.6</v>
      </c>
      <c r="S54" s="72"/>
      <c r="T54" s="72">
        <v>22.1</v>
      </c>
      <c r="U54" s="72">
        <v>596.2</v>
      </c>
      <c r="V54" s="72">
        <v>0.1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1611.1</v>
      </c>
      <c r="AG54" s="67">
        <f t="shared" si="11"/>
        <v>907.7000000000003</v>
      </c>
      <c r="AH54" s="6"/>
    </row>
    <row r="55" spans="1:34" ht="15">
      <c r="A55" s="3" t="s">
        <v>5</v>
      </c>
      <c r="B55" s="109">
        <v>1045.8</v>
      </c>
      <c r="C55" s="116">
        <v>0</v>
      </c>
      <c r="D55" s="67"/>
      <c r="E55" s="67"/>
      <c r="F55" s="67"/>
      <c r="G55" s="67"/>
      <c r="H55" s="67"/>
      <c r="I55" s="67"/>
      <c r="J55" s="72"/>
      <c r="K55" s="67">
        <v>389.3</v>
      </c>
      <c r="L55" s="67"/>
      <c r="M55" s="67"/>
      <c r="N55" s="67"/>
      <c r="O55" s="71"/>
      <c r="P55" s="67"/>
      <c r="Q55" s="71"/>
      <c r="R55" s="67"/>
      <c r="S55" s="72"/>
      <c r="T55" s="72"/>
      <c r="U55" s="72">
        <v>522.2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911.5</v>
      </c>
      <c r="AG55" s="67">
        <f t="shared" si="11"/>
        <v>134.29999999999995</v>
      </c>
      <c r="AH55" s="6"/>
    </row>
    <row r="56" spans="1:34" ht="15" customHeight="1" hidden="1">
      <c r="A56" s="3" t="s">
        <v>1</v>
      </c>
      <c r="B56" s="109"/>
      <c r="C56" s="116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67">
        <f t="shared" si="11"/>
        <v>0</v>
      </c>
      <c r="AH56" s="6"/>
    </row>
    <row r="57" spans="1:33" ht="15">
      <c r="A57" s="3" t="s">
        <v>2</v>
      </c>
      <c r="B57" s="117">
        <v>398</v>
      </c>
      <c r="C57" s="116">
        <v>0</v>
      </c>
      <c r="D57" s="67"/>
      <c r="E57" s="67"/>
      <c r="F57" s="67"/>
      <c r="G57" s="67">
        <v>11.3</v>
      </c>
      <c r="H57" s="67"/>
      <c r="I57" s="67"/>
      <c r="J57" s="72"/>
      <c r="K57" s="67">
        <v>141.7</v>
      </c>
      <c r="L57" s="67"/>
      <c r="M57" s="67"/>
      <c r="N57" s="67"/>
      <c r="O57" s="71"/>
      <c r="P57" s="67"/>
      <c r="Q57" s="71">
        <v>12.6</v>
      </c>
      <c r="R57" s="67"/>
      <c r="S57" s="72"/>
      <c r="T57" s="72">
        <v>0.9</v>
      </c>
      <c r="U57" s="72">
        <v>0.4</v>
      </c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166.9</v>
      </c>
      <c r="AG57" s="67">
        <f t="shared" si="11"/>
        <v>231.1</v>
      </c>
    </row>
    <row r="58" spans="1:33" ht="15">
      <c r="A58" s="3" t="s">
        <v>16</v>
      </c>
      <c r="B58" s="117">
        <v>5.1</v>
      </c>
      <c r="C58" s="116">
        <v>0</v>
      </c>
      <c r="D58" s="67"/>
      <c r="E58" s="67"/>
      <c r="F58" s="67"/>
      <c r="G58" s="67"/>
      <c r="H58" s="67"/>
      <c r="I58" s="67">
        <v>5.1</v>
      </c>
      <c r="J58" s="72"/>
      <c r="K58" s="67"/>
      <c r="L58" s="67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5.1</v>
      </c>
      <c r="AG58" s="67">
        <f t="shared" si="11"/>
        <v>0</v>
      </c>
    </row>
    <row r="59" spans="1:33" ht="15" hidden="1">
      <c r="A59" s="3" t="s">
        <v>15</v>
      </c>
      <c r="B59" s="109"/>
      <c r="C59" s="116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67">
        <f t="shared" si="11"/>
        <v>0</v>
      </c>
    </row>
    <row r="60" spans="1:33" ht="15">
      <c r="A60" s="3" t="s">
        <v>23</v>
      </c>
      <c r="B60" s="109">
        <f aca="true" t="shared" si="12" ref="B60:AD60">B54-B55-B57-B59-B56-B58</f>
        <v>1069.9000000000003</v>
      </c>
      <c r="C60" s="116">
        <f t="shared" si="12"/>
        <v>0</v>
      </c>
      <c r="D60" s="67">
        <f t="shared" si="12"/>
        <v>0</v>
      </c>
      <c r="E60" s="67">
        <f>E54-E55-E57-E59-E56-E58</f>
        <v>164.7</v>
      </c>
      <c r="F60" s="67">
        <f t="shared" si="12"/>
        <v>0</v>
      </c>
      <c r="G60" s="67">
        <f t="shared" si="12"/>
        <v>3.6999999999999993</v>
      </c>
      <c r="H60" s="67">
        <f t="shared" si="12"/>
        <v>0</v>
      </c>
      <c r="I60" s="67">
        <f t="shared" si="12"/>
        <v>0</v>
      </c>
      <c r="J60" s="67">
        <f t="shared" si="12"/>
        <v>0</v>
      </c>
      <c r="K60" s="67">
        <f t="shared" si="12"/>
        <v>0</v>
      </c>
      <c r="L60" s="67">
        <f t="shared" si="12"/>
        <v>54.3</v>
      </c>
      <c r="M60" s="67">
        <f t="shared" si="12"/>
        <v>0</v>
      </c>
      <c r="N60" s="67">
        <f t="shared" si="12"/>
        <v>0</v>
      </c>
      <c r="O60" s="67">
        <f t="shared" si="12"/>
        <v>2.5</v>
      </c>
      <c r="P60" s="67">
        <f t="shared" si="12"/>
        <v>15.8</v>
      </c>
      <c r="Q60" s="67">
        <f t="shared" si="12"/>
        <v>190.1</v>
      </c>
      <c r="R60" s="67">
        <f t="shared" si="12"/>
        <v>1.6</v>
      </c>
      <c r="S60" s="67">
        <f t="shared" si="12"/>
        <v>0</v>
      </c>
      <c r="T60" s="67">
        <f t="shared" si="12"/>
        <v>21.200000000000003</v>
      </c>
      <c r="U60" s="67">
        <f t="shared" si="12"/>
        <v>73.6</v>
      </c>
      <c r="V60" s="67">
        <f t="shared" si="12"/>
        <v>0.1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527.5999999999999</v>
      </c>
      <c r="AG60" s="67">
        <f>AG54-AG55-AG57-AG59-AG56-AG58</f>
        <v>542.3000000000003</v>
      </c>
    </row>
    <row r="61" spans="1:33" ht="15" customHeight="1">
      <c r="A61" s="4" t="s">
        <v>10</v>
      </c>
      <c r="B61" s="109">
        <v>308.1</v>
      </c>
      <c r="C61" s="116">
        <v>0</v>
      </c>
      <c r="D61" s="67"/>
      <c r="E61" s="67"/>
      <c r="F61" s="67"/>
      <c r="G61" s="67"/>
      <c r="H61" s="67"/>
      <c r="I61" s="67"/>
      <c r="J61" s="72"/>
      <c r="K61" s="67"/>
      <c r="L61" s="67">
        <v>1.1</v>
      </c>
      <c r="M61" s="67"/>
      <c r="N61" s="67"/>
      <c r="O61" s="71"/>
      <c r="P61" s="67"/>
      <c r="Q61" s="71"/>
      <c r="R61" s="67"/>
      <c r="S61" s="72"/>
      <c r="T61" s="72"/>
      <c r="U61" s="72">
        <v>0.6</v>
      </c>
      <c r="V61" s="72">
        <v>70.8</v>
      </c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72.5</v>
      </c>
      <c r="AG61" s="67">
        <f aca="true" t="shared" si="14" ref="AG61:AG67">B61+C61-AF61</f>
        <v>235.60000000000002</v>
      </c>
    </row>
    <row r="62" spans="1:33" ht="15" customHeight="1">
      <c r="A62" s="4" t="s">
        <v>11</v>
      </c>
      <c r="B62" s="109">
        <v>2755.8</v>
      </c>
      <c r="C62" s="116">
        <v>110</v>
      </c>
      <c r="D62" s="67"/>
      <c r="E62" s="67">
        <v>1</v>
      </c>
      <c r="F62" s="67">
        <v>93.6</v>
      </c>
      <c r="G62" s="67">
        <v>110</v>
      </c>
      <c r="H62" s="67"/>
      <c r="I62" s="67">
        <v>157.4</v>
      </c>
      <c r="J62" s="72"/>
      <c r="K62" s="67">
        <v>908.3</v>
      </c>
      <c r="L62" s="67"/>
      <c r="M62" s="67"/>
      <c r="N62" s="67"/>
      <c r="O62" s="71"/>
      <c r="P62" s="67">
        <v>5.2</v>
      </c>
      <c r="Q62" s="71"/>
      <c r="R62" s="67"/>
      <c r="S62" s="72"/>
      <c r="T62" s="72">
        <v>0.4</v>
      </c>
      <c r="U62" s="72">
        <v>827.7</v>
      </c>
      <c r="V62" s="72">
        <v>156.7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3"/>
        <v>2260.3</v>
      </c>
      <c r="AG62" s="67">
        <f t="shared" si="14"/>
        <v>605.5</v>
      </c>
    </row>
    <row r="63" spans="1:34" ht="15">
      <c r="A63" s="3" t="s">
        <v>5</v>
      </c>
      <c r="B63" s="109">
        <v>1491.8</v>
      </c>
      <c r="C63" s="116">
        <v>0</v>
      </c>
      <c r="D63" s="67"/>
      <c r="E63" s="67"/>
      <c r="F63" s="67"/>
      <c r="G63" s="67"/>
      <c r="H63" s="67"/>
      <c r="I63" s="67"/>
      <c r="J63" s="72"/>
      <c r="K63" s="67">
        <v>737.6</v>
      </c>
      <c r="L63" s="67"/>
      <c r="M63" s="67"/>
      <c r="N63" s="67"/>
      <c r="O63" s="71"/>
      <c r="P63" s="67"/>
      <c r="Q63" s="71"/>
      <c r="R63" s="67"/>
      <c r="S63" s="72"/>
      <c r="T63" s="72"/>
      <c r="U63" s="72">
        <v>710.6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1448.2</v>
      </c>
      <c r="AG63" s="67">
        <f t="shared" si="14"/>
        <v>43.59999999999991</v>
      </c>
      <c r="AH63" s="131"/>
    </row>
    <row r="64" spans="1:34" ht="15" hidden="1">
      <c r="A64" s="3" t="s">
        <v>3</v>
      </c>
      <c r="B64" s="109"/>
      <c r="C64" s="116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67">
        <f t="shared" si="14"/>
        <v>0</v>
      </c>
      <c r="AH64" s="6"/>
    </row>
    <row r="65" spans="1:34" ht="15">
      <c r="A65" s="3" t="s">
        <v>1</v>
      </c>
      <c r="B65" s="109">
        <v>71</v>
      </c>
      <c r="C65" s="116">
        <v>0</v>
      </c>
      <c r="D65" s="67"/>
      <c r="E65" s="67"/>
      <c r="F65" s="67">
        <v>4.2</v>
      </c>
      <c r="G65" s="67"/>
      <c r="H65" s="67"/>
      <c r="I65" s="67">
        <v>9</v>
      </c>
      <c r="J65" s="72"/>
      <c r="K65" s="67">
        <v>4.8</v>
      </c>
      <c r="L65" s="67"/>
      <c r="M65" s="67"/>
      <c r="N65" s="67"/>
      <c r="O65" s="71"/>
      <c r="P65" s="67"/>
      <c r="Q65" s="71"/>
      <c r="R65" s="67"/>
      <c r="S65" s="72"/>
      <c r="T65" s="72"/>
      <c r="U65" s="72">
        <v>9.6</v>
      </c>
      <c r="V65" s="72">
        <v>6.3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33.9</v>
      </c>
      <c r="AG65" s="67">
        <f t="shared" si="14"/>
        <v>37.1</v>
      </c>
      <c r="AH65" s="6"/>
    </row>
    <row r="66" spans="1:33" ht="15">
      <c r="A66" s="3" t="s">
        <v>2</v>
      </c>
      <c r="B66" s="109">
        <v>176.7</v>
      </c>
      <c r="C66" s="116">
        <v>0</v>
      </c>
      <c r="D66" s="67"/>
      <c r="E66" s="67">
        <v>1</v>
      </c>
      <c r="F66" s="67">
        <v>2.8</v>
      </c>
      <c r="G66" s="67"/>
      <c r="H66" s="67"/>
      <c r="I66" s="67">
        <v>12.3</v>
      </c>
      <c r="J66" s="72"/>
      <c r="K66" s="67">
        <v>8.3</v>
      </c>
      <c r="L66" s="67"/>
      <c r="M66" s="67"/>
      <c r="N66" s="67"/>
      <c r="O66" s="71"/>
      <c r="P66" s="67">
        <v>0.5</v>
      </c>
      <c r="Q66" s="67"/>
      <c r="R66" s="67"/>
      <c r="S66" s="72"/>
      <c r="T66" s="72">
        <v>0.4</v>
      </c>
      <c r="U66" s="72">
        <v>8.7</v>
      </c>
      <c r="V66" s="72">
        <v>15</v>
      </c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49</v>
      </c>
      <c r="AG66" s="67">
        <f t="shared" si="14"/>
        <v>127.69999999999999</v>
      </c>
    </row>
    <row r="67" spans="1:33" ht="15">
      <c r="A67" s="3" t="s">
        <v>16</v>
      </c>
      <c r="B67" s="109">
        <v>110</v>
      </c>
      <c r="C67" s="116">
        <v>110</v>
      </c>
      <c r="D67" s="67"/>
      <c r="E67" s="67"/>
      <c r="F67" s="67"/>
      <c r="G67" s="67">
        <v>110</v>
      </c>
      <c r="H67" s="67"/>
      <c r="I67" s="67">
        <v>110</v>
      </c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220</v>
      </c>
      <c r="AG67" s="67">
        <f t="shared" si="14"/>
        <v>0</v>
      </c>
    </row>
    <row r="68" spans="1:33" ht="15">
      <c r="A68" s="3" t="s">
        <v>23</v>
      </c>
      <c r="B68" s="109">
        <f aca="true" t="shared" si="15" ref="B68:AD68">B62-B63-B66-B67-B65-B64</f>
        <v>906.3000000000002</v>
      </c>
      <c r="C68" s="116">
        <f t="shared" si="15"/>
        <v>0</v>
      </c>
      <c r="D68" s="67">
        <f t="shared" si="15"/>
        <v>0</v>
      </c>
      <c r="E68" s="67">
        <f t="shared" si="15"/>
        <v>0</v>
      </c>
      <c r="F68" s="67">
        <f t="shared" si="15"/>
        <v>86.6</v>
      </c>
      <c r="G68" s="67">
        <f t="shared" si="15"/>
        <v>0</v>
      </c>
      <c r="H68" s="67">
        <f t="shared" si="15"/>
        <v>0</v>
      </c>
      <c r="I68" s="67">
        <f t="shared" si="15"/>
        <v>26.099999999999994</v>
      </c>
      <c r="J68" s="67">
        <f t="shared" si="15"/>
        <v>0</v>
      </c>
      <c r="K68" s="67">
        <f t="shared" si="15"/>
        <v>157.5999999999999</v>
      </c>
      <c r="L68" s="67">
        <f t="shared" si="15"/>
        <v>0</v>
      </c>
      <c r="M68" s="67">
        <f t="shared" si="15"/>
        <v>0</v>
      </c>
      <c r="N68" s="67">
        <f t="shared" si="15"/>
        <v>0</v>
      </c>
      <c r="O68" s="67">
        <f t="shared" si="15"/>
        <v>0</v>
      </c>
      <c r="P68" s="67">
        <f t="shared" si="15"/>
        <v>4.7</v>
      </c>
      <c r="Q68" s="67">
        <f t="shared" si="15"/>
        <v>0</v>
      </c>
      <c r="R68" s="67">
        <f t="shared" si="15"/>
        <v>0</v>
      </c>
      <c r="S68" s="67">
        <f t="shared" si="15"/>
        <v>0</v>
      </c>
      <c r="T68" s="67">
        <f t="shared" si="15"/>
        <v>0</v>
      </c>
      <c r="U68" s="67">
        <f t="shared" si="15"/>
        <v>98.80000000000003</v>
      </c>
      <c r="V68" s="67">
        <f t="shared" si="15"/>
        <v>135.39999999999998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509.1999999999999</v>
      </c>
      <c r="AG68" s="67">
        <f>AG62-AG63-AG66-AG67-AG65-AG64</f>
        <v>397.1000000000001</v>
      </c>
    </row>
    <row r="69" spans="1:33" ht="30.75">
      <c r="A69" s="4" t="s">
        <v>45</v>
      </c>
      <c r="B69" s="109">
        <v>3529.6</v>
      </c>
      <c r="C69" s="116">
        <v>0</v>
      </c>
      <c r="D69" s="67"/>
      <c r="E69" s="67"/>
      <c r="F69" s="67">
        <v>2264.3</v>
      </c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>
        <v>1265.3</v>
      </c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3529.6000000000004</v>
      </c>
      <c r="AG69" s="82">
        <f aca="true" t="shared" si="16" ref="AG69:AG92">B69+C69-AF69</f>
        <v>0</v>
      </c>
    </row>
    <row r="70" spans="1:33" ht="15" hidden="1">
      <c r="A70" s="4" t="s">
        <v>32</v>
      </c>
      <c r="B70" s="116"/>
      <c r="C70" s="116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2">
        <f t="shared" si="16"/>
        <v>0</v>
      </c>
    </row>
    <row r="71" spans="1:50" ht="30.75">
      <c r="A71" s="4" t="s">
        <v>46</v>
      </c>
      <c r="B71" s="116">
        <v>900</v>
      </c>
      <c r="C71" s="132">
        <v>0</v>
      </c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>
        <v>791.9</v>
      </c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791.9</v>
      </c>
      <c r="AG71" s="82">
        <f t="shared" si="16"/>
        <v>108.10000000000002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133">
        <f>1298.6+35</f>
        <v>1333.6</v>
      </c>
      <c r="C72" s="116">
        <v>130.60000000000002</v>
      </c>
      <c r="D72" s="67"/>
      <c r="E72" s="67">
        <v>133.2</v>
      </c>
      <c r="F72" s="67"/>
      <c r="G72" s="67">
        <v>17.3</v>
      </c>
      <c r="H72" s="67">
        <v>60.5</v>
      </c>
      <c r="I72" s="67">
        <v>173.3</v>
      </c>
      <c r="J72" s="72"/>
      <c r="K72" s="67">
        <f>3.4+6.1</f>
        <v>9.5</v>
      </c>
      <c r="L72" s="67">
        <v>14.3</v>
      </c>
      <c r="M72" s="67">
        <v>0.4</v>
      </c>
      <c r="N72" s="67">
        <v>29.5</v>
      </c>
      <c r="O72" s="67">
        <v>0.2</v>
      </c>
      <c r="P72" s="67"/>
      <c r="Q72" s="71"/>
      <c r="R72" s="67"/>
      <c r="S72" s="72"/>
      <c r="T72" s="72">
        <v>179.1</v>
      </c>
      <c r="U72" s="72">
        <v>27</v>
      </c>
      <c r="V72" s="72">
        <v>47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691.3</v>
      </c>
      <c r="AG72" s="82">
        <f t="shared" si="16"/>
        <v>772.8999999999999</v>
      </c>
    </row>
    <row r="73" spans="1:33" ht="15" customHeight="1">
      <c r="A73" s="3" t="s">
        <v>5</v>
      </c>
      <c r="B73" s="116">
        <f>74.5+16.4</f>
        <v>90.9</v>
      </c>
      <c r="C73" s="116">
        <v>0</v>
      </c>
      <c r="D73" s="67"/>
      <c r="E73" s="67">
        <v>45.4</v>
      </c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>
        <v>45.4</v>
      </c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90.8</v>
      </c>
      <c r="AG73" s="82">
        <f t="shared" si="16"/>
        <v>0.10000000000000853</v>
      </c>
    </row>
    <row r="74" spans="1:33" ht="15" customHeight="1">
      <c r="A74" s="3" t="s">
        <v>2</v>
      </c>
      <c r="B74" s="116">
        <f>209.1+5.8+74.7</f>
        <v>289.6</v>
      </c>
      <c r="C74" s="116">
        <v>0</v>
      </c>
      <c r="D74" s="67"/>
      <c r="E74" s="67">
        <v>47.8</v>
      </c>
      <c r="F74" s="67"/>
      <c r="G74" s="67">
        <v>0.9</v>
      </c>
      <c r="H74" s="67">
        <v>59.7</v>
      </c>
      <c r="I74" s="67">
        <v>88.3</v>
      </c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196.7</v>
      </c>
      <c r="AG74" s="82">
        <f t="shared" si="16"/>
        <v>92.90000000000003</v>
      </c>
    </row>
    <row r="75" spans="1:33" ht="15" customHeight="1">
      <c r="A75" s="3" t="s">
        <v>16</v>
      </c>
      <c r="B75" s="116">
        <v>14.1</v>
      </c>
      <c r="C75" s="116">
        <v>0.09999999999999964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>
        <v>7.1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7.1</v>
      </c>
      <c r="AG75" s="82">
        <f t="shared" si="16"/>
        <v>7.1</v>
      </c>
    </row>
    <row r="76" spans="1:35" s="11" customFormat="1" ht="15">
      <c r="A76" s="12" t="s">
        <v>48</v>
      </c>
      <c r="B76" s="116">
        <v>169</v>
      </c>
      <c r="C76" s="116">
        <v>18.299999999999997</v>
      </c>
      <c r="D76" s="67"/>
      <c r="E76" s="79"/>
      <c r="F76" s="79"/>
      <c r="G76" s="79"/>
      <c r="H76" s="79"/>
      <c r="I76" s="79"/>
      <c r="J76" s="80"/>
      <c r="K76" s="79">
        <v>30.4</v>
      </c>
      <c r="L76" s="79"/>
      <c r="M76" s="79"/>
      <c r="N76" s="79"/>
      <c r="O76" s="79"/>
      <c r="P76" s="79"/>
      <c r="Q76" s="81"/>
      <c r="R76" s="79"/>
      <c r="S76" s="80"/>
      <c r="T76" s="80">
        <v>78.2</v>
      </c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108.6</v>
      </c>
      <c r="AG76" s="82">
        <f t="shared" si="16"/>
        <v>78.70000000000002</v>
      </c>
      <c r="AI76" s="139"/>
    </row>
    <row r="77" spans="1:33" s="11" customFormat="1" ht="15">
      <c r="A77" s="3" t="s">
        <v>5</v>
      </c>
      <c r="B77" s="116">
        <f>95.5+21</f>
        <v>116.5</v>
      </c>
      <c r="C77" s="116">
        <v>7.799999999999997</v>
      </c>
      <c r="D77" s="67"/>
      <c r="E77" s="79"/>
      <c r="F77" s="79"/>
      <c r="G77" s="79"/>
      <c r="H77" s="79"/>
      <c r="I77" s="79"/>
      <c r="J77" s="80"/>
      <c r="K77" s="79">
        <v>25.4</v>
      </c>
      <c r="L77" s="79"/>
      <c r="M77" s="79"/>
      <c r="N77" s="79"/>
      <c r="O77" s="79"/>
      <c r="P77" s="79"/>
      <c r="Q77" s="81"/>
      <c r="R77" s="79"/>
      <c r="S77" s="80"/>
      <c r="T77" s="80">
        <v>76</v>
      </c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101.4</v>
      </c>
      <c r="AG77" s="82">
        <f t="shared" si="16"/>
        <v>22.89999999999999</v>
      </c>
    </row>
    <row r="78" spans="1:33" s="11" customFormat="1" ht="15" hidden="1">
      <c r="A78" s="3" t="s">
        <v>3</v>
      </c>
      <c r="B78" s="116"/>
      <c r="C78" s="116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2">
        <f t="shared" si="16"/>
        <v>0</v>
      </c>
    </row>
    <row r="79" spans="1:33" s="11" customFormat="1" ht="15" hidden="1">
      <c r="A79" s="3" t="s">
        <v>1</v>
      </c>
      <c r="B79" s="116"/>
      <c r="C79" s="116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2">
        <f t="shared" si="16"/>
        <v>0</v>
      </c>
    </row>
    <row r="80" spans="1:33" s="11" customFormat="1" ht="15">
      <c r="A80" s="3" t="s">
        <v>2</v>
      </c>
      <c r="B80" s="116">
        <f>6.3+0.1+1</f>
        <v>7.3999999999999995</v>
      </c>
      <c r="C80" s="116">
        <v>7.6</v>
      </c>
      <c r="D80" s="67"/>
      <c r="E80" s="79"/>
      <c r="F80" s="79"/>
      <c r="G80" s="79"/>
      <c r="H80" s="79"/>
      <c r="I80" s="79"/>
      <c r="J80" s="80"/>
      <c r="K80" s="79">
        <v>4.9</v>
      </c>
      <c r="L80" s="79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4.9</v>
      </c>
      <c r="AG80" s="82">
        <f t="shared" si="16"/>
        <v>10.1</v>
      </c>
    </row>
    <row r="81" spans="1:33" s="11" customFormat="1" ht="15">
      <c r="A81" s="12" t="s">
        <v>49</v>
      </c>
      <c r="B81" s="116">
        <v>0</v>
      </c>
      <c r="C81" s="132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2">
        <f t="shared" si="16"/>
        <v>0</v>
      </c>
    </row>
    <row r="82" spans="1:33" s="11" customFormat="1" ht="15" hidden="1">
      <c r="A82" s="12" t="s">
        <v>41</v>
      </c>
      <c r="B82" s="116"/>
      <c r="C82" s="132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2">
        <f t="shared" si="16"/>
        <v>0</v>
      </c>
    </row>
    <row r="83" spans="1:33" s="11" customFormat="1" ht="15" hidden="1">
      <c r="A83" s="12" t="s">
        <v>40</v>
      </c>
      <c r="B83" s="132"/>
      <c r="C83" s="132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3"/>
        <v>0</v>
      </c>
      <c r="AG83" s="67">
        <f t="shared" si="16"/>
        <v>0</v>
      </c>
    </row>
    <row r="84" spans="1:33" s="11" customFormat="1" ht="15" hidden="1">
      <c r="A84" s="25" t="s">
        <v>21</v>
      </c>
      <c r="B84" s="116"/>
      <c r="C84" s="132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67">
        <f t="shared" si="16"/>
        <v>0</v>
      </c>
    </row>
    <row r="85" spans="1:33" s="11" customFormat="1" ht="15" hidden="1">
      <c r="A85" s="25" t="s">
        <v>22</v>
      </c>
      <c r="B85" s="116"/>
      <c r="C85" s="132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67">
        <f t="shared" si="16"/>
        <v>0</v>
      </c>
    </row>
    <row r="86" spans="1:33" s="11" customFormat="1" ht="30.75" hidden="1">
      <c r="A86" s="25" t="s">
        <v>24</v>
      </c>
      <c r="B86" s="116"/>
      <c r="C86" s="132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67">
        <f t="shared" si="16"/>
        <v>0</v>
      </c>
    </row>
    <row r="87" spans="1:33" s="11" customFormat="1" ht="30.75" hidden="1">
      <c r="A87" s="25" t="s">
        <v>28</v>
      </c>
      <c r="B87" s="116"/>
      <c r="C87" s="132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67">
        <f t="shared" si="16"/>
        <v>0</v>
      </c>
    </row>
    <row r="88" spans="1:34" ht="15" hidden="1">
      <c r="A88" s="4" t="s">
        <v>44</v>
      </c>
      <c r="B88" s="116"/>
      <c r="C88" s="116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67">
        <f t="shared" si="16"/>
        <v>0</v>
      </c>
      <c r="AH88" s="11"/>
    </row>
    <row r="89" spans="1:35" ht="15">
      <c r="A89" s="4" t="s">
        <v>50</v>
      </c>
      <c r="B89" s="116">
        <v>3932.8</v>
      </c>
      <c r="C89" s="116">
        <v>2797.8</v>
      </c>
      <c r="D89" s="67"/>
      <c r="E89" s="67"/>
      <c r="F89" s="67"/>
      <c r="G89" s="67">
        <v>629.8</v>
      </c>
      <c r="H89" s="67"/>
      <c r="I89" s="67">
        <v>725.8</v>
      </c>
      <c r="J89" s="67"/>
      <c r="K89" s="67"/>
      <c r="L89" s="67"/>
      <c r="M89" s="67"/>
      <c r="N89" s="67"/>
      <c r="O89" s="67"/>
      <c r="P89" s="67">
        <v>539.8</v>
      </c>
      <c r="Q89" s="67"/>
      <c r="R89" s="67"/>
      <c r="S89" s="72"/>
      <c r="T89" s="72"/>
      <c r="U89" s="67"/>
      <c r="V89" s="67"/>
      <c r="W89" s="67">
        <v>84</v>
      </c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1979.3999999999999</v>
      </c>
      <c r="AG89" s="67">
        <f t="shared" si="16"/>
        <v>4751.200000000001</v>
      </c>
      <c r="AH89" s="11"/>
      <c r="AI89" s="86"/>
    </row>
    <row r="90" spans="1:34" ht="15">
      <c r="A90" s="4" t="s">
        <v>51</v>
      </c>
      <c r="B90" s="116">
        <f>2457.1+1062.3</f>
        <v>3519.3999999999996</v>
      </c>
      <c r="C90" s="116">
        <v>0</v>
      </c>
      <c r="D90" s="67"/>
      <c r="E90" s="67"/>
      <c r="F90" s="67"/>
      <c r="G90" s="67"/>
      <c r="H90" s="67"/>
      <c r="I90" s="67"/>
      <c r="J90" s="67">
        <v>1173.1</v>
      </c>
      <c r="K90" s="67"/>
      <c r="L90" s="67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>
        <v>1173.2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3519.3999999999996</v>
      </c>
      <c r="AG90" s="67">
        <f t="shared" si="16"/>
        <v>0</v>
      </c>
      <c r="AH90" s="11"/>
    </row>
    <row r="91" spans="1:34" ht="15">
      <c r="A91" s="4" t="s">
        <v>25</v>
      </c>
      <c r="B91" s="116">
        <v>1416.7</v>
      </c>
      <c r="C91" s="116">
        <v>1416.7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67">
        <f t="shared" si="16"/>
        <v>2833.4</v>
      </c>
      <c r="AH91" s="11"/>
    </row>
    <row r="92" spans="1:34" ht="15">
      <c r="A92" s="4" t="s">
        <v>37</v>
      </c>
      <c r="B92" s="116">
        <v>0</v>
      </c>
      <c r="C92" s="116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0</v>
      </c>
      <c r="AG92" s="67">
        <f t="shared" si="16"/>
        <v>0</v>
      </c>
      <c r="AH92" s="58"/>
    </row>
    <row r="93" spans="1:33" ht="15">
      <c r="A93" s="7"/>
      <c r="B93" s="22"/>
      <c r="C93" s="116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">
      <c r="A94" s="7" t="s">
        <v>27</v>
      </c>
      <c r="B94" s="35">
        <f aca="true" t="shared" si="17" ref="B94:Y94">B10+B15+B24+B33+B47+B52+B54+B61+B62+B69+B71+B72+B76+B81+B82+B83+B88+B89+B90+B91+B40+B92+B70</f>
        <v>168094.09999999998</v>
      </c>
      <c r="C94" s="134">
        <f t="shared" si="17"/>
        <v>12798.000000000011</v>
      </c>
      <c r="D94" s="83">
        <f t="shared" si="17"/>
        <v>146.5</v>
      </c>
      <c r="E94" s="83">
        <f t="shared" si="17"/>
        <v>1225.5</v>
      </c>
      <c r="F94" s="83">
        <f t="shared" si="17"/>
        <v>2604.8</v>
      </c>
      <c r="G94" s="83">
        <f t="shared" si="17"/>
        <v>1149.3</v>
      </c>
      <c r="H94" s="83">
        <f t="shared" si="17"/>
        <v>143</v>
      </c>
      <c r="I94" s="83">
        <f t="shared" si="17"/>
        <v>1967</v>
      </c>
      <c r="J94" s="83">
        <f t="shared" si="17"/>
        <v>2521.6</v>
      </c>
      <c r="K94" s="83">
        <f t="shared" si="17"/>
        <v>12926.4</v>
      </c>
      <c r="L94" s="83">
        <f t="shared" si="17"/>
        <v>26458.999999999996</v>
      </c>
      <c r="M94" s="83">
        <f t="shared" si="17"/>
        <v>760.6</v>
      </c>
      <c r="N94" s="83">
        <f t="shared" si="17"/>
        <v>667.7</v>
      </c>
      <c r="O94" s="83">
        <f t="shared" si="17"/>
        <v>2730</v>
      </c>
      <c r="P94" s="83">
        <f t="shared" si="17"/>
        <v>2114.7</v>
      </c>
      <c r="Q94" s="83">
        <f t="shared" si="17"/>
        <v>2718.2999999999997</v>
      </c>
      <c r="R94" s="83">
        <f t="shared" si="17"/>
        <v>336.20000000000005</v>
      </c>
      <c r="S94" s="83">
        <f t="shared" si="17"/>
        <v>2257</v>
      </c>
      <c r="T94" s="83">
        <f t="shared" si="17"/>
        <v>3792.8999999999996</v>
      </c>
      <c r="U94" s="83">
        <f t="shared" si="17"/>
        <v>62153.59999999999</v>
      </c>
      <c r="V94" s="83">
        <f t="shared" si="17"/>
        <v>5601</v>
      </c>
      <c r="W94" s="83">
        <f t="shared" si="17"/>
        <v>1270.2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133545.3</v>
      </c>
      <c r="AG94" s="84">
        <f>AG10+AG15+AG24+AG33+AG47+AG52+AG54+AG61+AG62+AG69+AG71+AG72+AG76+AG81+AG82+AG83+AG88+AG89+AG90+AG91+AG70+AG40+AG92</f>
        <v>47346.80000000001</v>
      </c>
    </row>
    <row r="95" spans="1:33" ht="15">
      <c r="A95" s="3" t="s">
        <v>5</v>
      </c>
      <c r="B95" s="22">
        <f aca="true" t="shared" si="18" ref="B95:AD95">B11+B17+B26+B34+B55+B63+B73+B41+B77+B48</f>
        <v>75812.9</v>
      </c>
      <c r="C95" s="116">
        <f t="shared" si="18"/>
        <v>64.10000000000109</v>
      </c>
      <c r="D95" s="67">
        <f t="shared" si="18"/>
        <v>37</v>
      </c>
      <c r="E95" s="67">
        <f t="shared" si="18"/>
        <v>189.3</v>
      </c>
      <c r="F95" s="67">
        <f t="shared" si="18"/>
        <v>8.8</v>
      </c>
      <c r="G95" s="67">
        <f t="shared" si="18"/>
        <v>37.8</v>
      </c>
      <c r="H95" s="67">
        <f t="shared" si="18"/>
        <v>16.1</v>
      </c>
      <c r="I95" s="67">
        <f t="shared" si="18"/>
        <v>28.3</v>
      </c>
      <c r="J95" s="67">
        <f t="shared" si="18"/>
        <v>0</v>
      </c>
      <c r="K95" s="67">
        <f t="shared" si="18"/>
        <v>11807.599999999999</v>
      </c>
      <c r="L95" s="67">
        <f t="shared" si="18"/>
        <v>15071.4</v>
      </c>
      <c r="M95" s="67">
        <f t="shared" si="18"/>
        <v>381.40000000000003</v>
      </c>
      <c r="N95" s="67">
        <f t="shared" si="18"/>
        <v>0</v>
      </c>
      <c r="O95" s="67">
        <f t="shared" si="18"/>
        <v>40</v>
      </c>
      <c r="P95" s="67">
        <f t="shared" si="18"/>
        <v>0</v>
      </c>
      <c r="Q95" s="67">
        <f t="shared" si="18"/>
        <v>45.8</v>
      </c>
      <c r="R95" s="67">
        <f t="shared" si="18"/>
        <v>0</v>
      </c>
      <c r="S95" s="67">
        <f t="shared" si="18"/>
        <v>973</v>
      </c>
      <c r="T95" s="67">
        <f t="shared" si="18"/>
        <v>810.6</v>
      </c>
      <c r="U95" s="67">
        <f t="shared" si="18"/>
        <v>37924.399999999994</v>
      </c>
      <c r="V95" s="67">
        <f t="shared" si="18"/>
        <v>3427.9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70799.39999999998</v>
      </c>
      <c r="AG95" s="71">
        <f>B95+C95-AF95</f>
        <v>5077.60000000002</v>
      </c>
    </row>
    <row r="96" spans="1:33" ht="15">
      <c r="A96" s="3" t="s">
        <v>2</v>
      </c>
      <c r="B96" s="22">
        <f aca="true" t="shared" si="19" ref="B96:AD96">B12+B20+B29+B36+B57+B66+B44+B80+B74+B53</f>
        <v>26423.700000000004</v>
      </c>
      <c r="C96" s="116">
        <f t="shared" si="19"/>
        <v>8.300000000000045</v>
      </c>
      <c r="D96" s="67">
        <f t="shared" si="19"/>
        <v>0</v>
      </c>
      <c r="E96" s="67">
        <f t="shared" si="19"/>
        <v>116.3</v>
      </c>
      <c r="F96" s="67">
        <f t="shared" si="19"/>
        <v>3.5</v>
      </c>
      <c r="G96" s="67">
        <f t="shared" si="19"/>
        <v>110</v>
      </c>
      <c r="H96" s="67">
        <f t="shared" si="19"/>
        <v>115.5</v>
      </c>
      <c r="I96" s="67">
        <f t="shared" si="19"/>
        <v>186.9</v>
      </c>
      <c r="J96" s="67">
        <f t="shared" si="19"/>
        <v>15</v>
      </c>
      <c r="K96" s="67">
        <f t="shared" si="19"/>
        <v>293.99999999999994</v>
      </c>
      <c r="L96" s="67">
        <f t="shared" si="19"/>
        <v>167</v>
      </c>
      <c r="M96" s="67">
        <f t="shared" si="19"/>
        <v>27.1</v>
      </c>
      <c r="N96" s="67">
        <f t="shared" si="19"/>
        <v>0</v>
      </c>
      <c r="O96" s="67">
        <f t="shared" si="19"/>
        <v>31.6</v>
      </c>
      <c r="P96" s="67">
        <f t="shared" si="19"/>
        <v>337.9</v>
      </c>
      <c r="Q96" s="67">
        <f t="shared" si="19"/>
        <v>12.6</v>
      </c>
      <c r="R96" s="67">
        <f t="shared" si="19"/>
        <v>178.8</v>
      </c>
      <c r="S96" s="67">
        <f t="shared" si="19"/>
        <v>824.6</v>
      </c>
      <c r="T96" s="67">
        <f t="shared" si="19"/>
        <v>271.09999999999997</v>
      </c>
      <c r="U96" s="67">
        <f t="shared" si="19"/>
        <v>7000.499999999999</v>
      </c>
      <c r="V96" s="67">
        <f t="shared" si="19"/>
        <v>1317.8</v>
      </c>
      <c r="W96" s="67">
        <f t="shared" si="19"/>
        <v>1.6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11011.799999999997</v>
      </c>
      <c r="AG96" s="71">
        <f>B96+C96-AF96</f>
        <v>15420.200000000006</v>
      </c>
    </row>
    <row r="97" spans="1:33" ht="15">
      <c r="A97" s="3" t="s">
        <v>3</v>
      </c>
      <c r="B97" s="22">
        <f aca="true" t="shared" si="20" ref="B97:AA97">B18+B27+B42+B64+B78</f>
        <v>0</v>
      </c>
      <c r="C97" s="116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">
      <c r="A98" s="3" t="s">
        <v>1</v>
      </c>
      <c r="B98" s="22">
        <f aca="true" t="shared" si="21" ref="B98:AD98">B19+B28+B65+B35+B43+B56+B79</f>
        <v>8695.800000000001</v>
      </c>
      <c r="C98" s="116">
        <f t="shared" si="21"/>
        <v>0.0999999999999659</v>
      </c>
      <c r="D98" s="67">
        <f t="shared" si="21"/>
        <v>0</v>
      </c>
      <c r="E98" s="67">
        <f t="shared" si="21"/>
        <v>85.8</v>
      </c>
      <c r="F98" s="67">
        <f t="shared" si="21"/>
        <v>4.2</v>
      </c>
      <c r="G98" s="67">
        <f t="shared" si="21"/>
        <v>204.3</v>
      </c>
      <c r="H98" s="67">
        <f t="shared" si="21"/>
        <v>0</v>
      </c>
      <c r="I98" s="67">
        <f t="shared" si="21"/>
        <v>530.2</v>
      </c>
      <c r="J98" s="67">
        <f t="shared" si="21"/>
        <v>87.9</v>
      </c>
      <c r="K98" s="67">
        <f t="shared" si="21"/>
        <v>298</v>
      </c>
      <c r="L98" s="67">
        <f t="shared" si="21"/>
        <v>0</v>
      </c>
      <c r="M98" s="67">
        <f t="shared" si="21"/>
        <v>250.5</v>
      </c>
      <c r="N98" s="67">
        <f t="shared" si="21"/>
        <v>269.9</v>
      </c>
      <c r="O98" s="67">
        <f t="shared" si="21"/>
        <v>23.7</v>
      </c>
      <c r="P98" s="67">
        <f t="shared" si="21"/>
        <v>37.8</v>
      </c>
      <c r="Q98" s="67">
        <f t="shared" si="21"/>
        <v>0</v>
      </c>
      <c r="R98" s="67">
        <f t="shared" si="21"/>
        <v>76.9</v>
      </c>
      <c r="S98" s="67">
        <f t="shared" si="21"/>
        <v>443.5</v>
      </c>
      <c r="T98" s="67">
        <f t="shared" si="21"/>
        <v>72.7</v>
      </c>
      <c r="U98" s="67">
        <f t="shared" si="21"/>
        <v>215.6</v>
      </c>
      <c r="V98" s="67">
        <f t="shared" si="21"/>
        <v>70.3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2671.3</v>
      </c>
      <c r="AG98" s="71">
        <f>B98+C98-AF98</f>
        <v>6024.600000000001</v>
      </c>
    </row>
    <row r="99" spans="1:33" ht="15">
      <c r="A99" s="3" t="s">
        <v>16</v>
      </c>
      <c r="B99" s="22">
        <f aca="true" t="shared" si="22" ref="B99:X99">B21+B30+B49+B37+B58+B13+B75+B67</f>
        <v>2378.3</v>
      </c>
      <c r="C99" s="116">
        <f t="shared" si="22"/>
        <v>110.1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110</v>
      </c>
      <c r="H99" s="67">
        <f t="shared" si="22"/>
        <v>0</v>
      </c>
      <c r="I99" s="67">
        <f t="shared" si="22"/>
        <v>166.7</v>
      </c>
      <c r="J99" s="67">
        <f t="shared" si="22"/>
        <v>0</v>
      </c>
      <c r="K99" s="67">
        <f t="shared" si="22"/>
        <v>0</v>
      </c>
      <c r="L99" s="67">
        <f t="shared" si="22"/>
        <v>143.7</v>
      </c>
      <c r="M99" s="67">
        <f t="shared" si="22"/>
        <v>0</v>
      </c>
      <c r="N99" s="67">
        <f t="shared" si="22"/>
        <v>359.8</v>
      </c>
      <c r="O99" s="67">
        <f t="shared" si="22"/>
        <v>0</v>
      </c>
      <c r="P99" s="67">
        <f t="shared" si="22"/>
        <v>159.7</v>
      </c>
      <c r="Q99" s="67">
        <f t="shared" si="22"/>
        <v>25.2</v>
      </c>
      <c r="R99" s="67">
        <f t="shared" si="22"/>
        <v>0</v>
      </c>
      <c r="S99" s="67">
        <f t="shared" si="22"/>
        <v>0</v>
      </c>
      <c r="T99" s="67">
        <f t="shared" si="22"/>
        <v>688.1</v>
      </c>
      <c r="U99" s="67">
        <f t="shared" si="22"/>
        <v>20.299999999999997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1673.5000000000002</v>
      </c>
      <c r="AG99" s="71">
        <f>B99+C99-AF99</f>
        <v>814.8999999999999</v>
      </c>
    </row>
    <row r="100" spans="1:33" ht="13.5">
      <c r="A100" s="1" t="s">
        <v>35</v>
      </c>
      <c r="B100" s="2">
        <f aca="true" t="shared" si="24" ref="B100:AD100">B94-B95-B96-B97-B98-B99</f>
        <v>54783.399999999965</v>
      </c>
      <c r="C100" s="135">
        <f t="shared" si="24"/>
        <v>12615.40000000001</v>
      </c>
      <c r="D100" s="85">
        <f t="shared" si="24"/>
        <v>109.5</v>
      </c>
      <c r="E100" s="85">
        <f t="shared" si="24"/>
        <v>834.1000000000001</v>
      </c>
      <c r="F100" s="85">
        <f t="shared" si="24"/>
        <v>2588.3</v>
      </c>
      <c r="G100" s="85">
        <f t="shared" si="24"/>
        <v>687.2</v>
      </c>
      <c r="H100" s="85">
        <f t="shared" si="24"/>
        <v>11.400000000000006</v>
      </c>
      <c r="I100" s="85">
        <f t="shared" si="24"/>
        <v>1054.8999999999999</v>
      </c>
      <c r="J100" s="85">
        <f t="shared" si="24"/>
        <v>2418.7</v>
      </c>
      <c r="K100" s="85">
        <f t="shared" si="24"/>
        <v>526.8000000000011</v>
      </c>
      <c r="L100" s="85">
        <f t="shared" si="24"/>
        <v>11076.899999999996</v>
      </c>
      <c r="M100" s="85">
        <f t="shared" si="24"/>
        <v>101.59999999999997</v>
      </c>
      <c r="N100" s="85">
        <f t="shared" si="24"/>
        <v>38.00000000000006</v>
      </c>
      <c r="O100" s="85">
        <f t="shared" si="24"/>
        <v>2634.7000000000003</v>
      </c>
      <c r="P100" s="85">
        <f t="shared" si="24"/>
        <v>1579.2999999999997</v>
      </c>
      <c r="Q100" s="85">
        <f t="shared" si="24"/>
        <v>2634.7</v>
      </c>
      <c r="R100" s="85">
        <f t="shared" si="24"/>
        <v>80.50000000000003</v>
      </c>
      <c r="S100" s="85">
        <f t="shared" si="24"/>
        <v>15.899999999999977</v>
      </c>
      <c r="T100" s="85">
        <f t="shared" si="24"/>
        <v>1950.4</v>
      </c>
      <c r="U100" s="85">
        <f t="shared" si="24"/>
        <v>16992.8</v>
      </c>
      <c r="V100" s="85">
        <f t="shared" si="24"/>
        <v>785</v>
      </c>
      <c r="W100" s="85">
        <f t="shared" si="24"/>
        <v>1268.6000000000001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47389.30000000001</v>
      </c>
      <c r="AG100" s="85">
        <f>AG94-AG95-AG96-AG97-AG98-AG99</f>
        <v>20009.49999999998</v>
      </c>
    </row>
    <row r="101" spans="1:33" s="32" customFormat="1" ht="15">
      <c r="A101" s="30"/>
      <c r="B101" s="31"/>
      <c r="C101" s="136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37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138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3.5">
      <c r="A104" s="1"/>
      <c r="B104" s="2"/>
      <c r="C104" s="135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135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110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110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110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110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110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110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110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110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110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110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110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110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110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110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110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110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110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110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110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110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110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110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110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110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110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110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110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110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110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110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110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110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110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4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zoomScalePageLayoutView="0" workbookViewId="0" topLeftCell="A1">
      <pane xSplit="3" ySplit="9" topLeftCell="D6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E72" sqref="E72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87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40" t="s">
        <v>12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</row>
    <row r="2" spans="1:33" ht="22.5" customHeight="1">
      <c r="A2" s="141" t="s">
        <v>56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</row>
    <row r="3" spans="2:33" ht="17.25" customHeight="1">
      <c r="B3" s="15"/>
      <c r="C3" s="88"/>
      <c r="D3" s="15"/>
      <c r="AG3" s="13" t="s">
        <v>17</v>
      </c>
    </row>
    <row r="4" spans="1:33" ht="62.25">
      <c r="A4" s="34" t="s">
        <v>26</v>
      </c>
      <c r="B4" s="9" t="s">
        <v>55</v>
      </c>
      <c r="C4" s="91" t="s">
        <v>18</v>
      </c>
      <c r="D4" s="9">
        <v>1</v>
      </c>
      <c r="E4" s="8">
        <v>2</v>
      </c>
      <c r="F4" s="8">
        <v>3</v>
      </c>
      <c r="G4" s="8">
        <v>5</v>
      </c>
      <c r="H4" s="8">
        <v>6</v>
      </c>
      <c r="I4" s="8">
        <v>7</v>
      </c>
      <c r="J4" s="19">
        <v>12</v>
      </c>
      <c r="K4" s="8">
        <v>13</v>
      </c>
      <c r="L4" s="8">
        <v>14</v>
      </c>
      <c r="M4" s="8">
        <v>15</v>
      </c>
      <c r="N4" s="8">
        <v>16</v>
      </c>
      <c r="O4" s="8">
        <v>19</v>
      </c>
      <c r="P4" s="8">
        <v>20</v>
      </c>
      <c r="Q4" s="8">
        <v>21</v>
      </c>
      <c r="R4" s="8">
        <v>22</v>
      </c>
      <c r="S4" s="19">
        <v>23</v>
      </c>
      <c r="T4" s="19">
        <v>26</v>
      </c>
      <c r="U4" s="8">
        <v>27</v>
      </c>
      <c r="V4" s="8">
        <v>28</v>
      </c>
      <c r="W4" s="8">
        <v>29</v>
      </c>
      <c r="X4" s="19">
        <v>30</v>
      </c>
      <c r="Y4" s="19">
        <v>28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46" t="s">
        <v>42</v>
      </c>
      <c r="B5" s="54">
        <f>SUM(D5:Y5)</f>
        <v>0</v>
      </c>
      <c r="C5" s="95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" hidden="1">
      <c r="A6" s="46" t="s">
        <v>33</v>
      </c>
      <c r="B6" s="33">
        <f>SUM(D6:AD6)</f>
        <v>0</v>
      </c>
      <c r="C6" s="96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">
      <c r="A7" s="46" t="s">
        <v>36</v>
      </c>
      <c r="B7" s="33">
        <f>SUM(D7:Y7)</f>
        <v>20591.3</v>
      </c>
      <c r="C7" s="95">
        <v>19140.8</v>
      </c>
      <c r="D7" s="38">
        <v>0</v>
      </c>
      <c r="E7" s="38">
        <f>11001.5+9589.8</f>
        <v>20591.3</v>
      </c>
      <c r="F7" s="38"/>
      <c r="G7" s="38"/>
      <c r="H7" s="56"/>
      <c r="I7" s="38"/>
      <c r="J7" s="39"/>
      <c r="K7" s="38">
        <v>0</v>
      </c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39727.799999999996</v>
      </c>
      <c r="AF7" s="54"/>
      <c r="AG7" s="40"/>
    </row>
    <row r="8" spans="1:55" ht="18" customHeight="1">
      <c r="A8" s="47" t="s">
        <v>30</v>
      </c>
      <c r="B8" s="33">
        <f>SUM(E8:AB8)</f>
        <v>4404.8</v>
      </c>
      <c r="C8" s="99">
        <v>26206.170000000042</v>
      </c>
      <c r="D8" s="59">
        <v>14510.3</v>
      </c>
      <c r="E8" s="60">
        <v>4404.8</v>
      </c>
      <c r="F8" s="61"/>
      <c r="G8" s="61"/>
      <c r="H8" s="61"/>
      <c r="I8" s="61"/>
      <c r="J8" s="61"/>
      <c r="K8" s="62"/>
      <c r="L8" s="61"/>
      <c r="M8" s="61"/>
      <c r="N8" s="61"/>
      <c r="O8" s="61"/>
      <c r="P8" s="61"/>
      <c r="Q8" s="61"/>
      <c r="R8" s="61"/>
      <c r="S8" s="63"/>
      <c r="T8" s="63"/>
      <c r="U8" s="61"/>
      <c r="V8" s="61"/>
      <c r="W8" s="61"/>
      <c r="X8" s="62"/>
      <c r="Y8" s="62"/>
      <c r="Z8" s="62"/>
      <c r="AA8" s="62"/>
      <c r="AB8" s="61"/>
      <c r="AC8" s="64"/>
      <c r="AD8" s="64"/>
      <c r="AE8" s="65">
        <f>SUM(D8:AD8)+C8-AF9</f>
        <v>42526.37000000004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47" t="s">
        <v>14</v>
      </c>
      <c r="B9" s="68">
        <f>B10+B15+B24+B33+B47+B52+B54+B61+B62+B71+B72+B88+B76+B81+B83+B82+B69+B89+B90+B91+B70+B40+B92</f>
        <v>199423.7</v>
      </c>
      <c r="C9" s="112">
        <f aca="true" t="shared" si="0" ref="C9:AD9">C10+C15+C24+C33+C47+C52+C54+C61+C62+C71+C72+C88+C76+C81+C83+C82+C69+C89+C90+C91+C70+C40+C92</f>
        <v>47346.80000000001</v>
      </c>
      <c r="D9" s="68">
        <f t="shared" si="0"/>
        <v>161.8</v>
      </c>
      <c r="E9" s="68">
        <f t="shared" si="0"/>
        <v>2433.1</v>
      </c>
      <c r="F9" s="68">
        <f t="shared" si="0"/>
        <v>0</v>
      </c>
      <c r="G9" s="68">
        <f t="shared" si="0"/>
        <v>0</v>
      </c>
      <c r="H9" s="68">
        <f t="shared" si="0"/>
        <v>0</v>
      </c>
      <c r="I9" s="68">
        <f t="shared" si="0"/>
        <v>0</v>
      </c>
      <c r="J9" s="68">
        <f t="shared" si="0"/>
        <v>0</v>
      </c>
      <c r="K9" s="68">
        <f t="shared" si="0"/>
        <v>0</v>
      </c>
      <c r="L9" s="68">
        <f t="shared" si="0"/>
        <v>0</v>
      </c>
      <c r="M9" s="68">
        <f t="shared" si="0"/>
        <v>0</v>
      </c>
      <c r="N9" s="68">
        <f t="shared" si="0"/>
        <v>0</v>
      </c>
      <c r="O9" s="68">
        <f t="shared" si="0"/>
        <v>0</v>
      </c>
      <c r="P9" s="68">
        <f t="shared" si="0"/>
        <v>0</v>
      </c>
      <c r="Q9" s="68">
        <f t="shared" si="0"/>
        <v>0</v>
      </c>
      <c r="R9" s="68">
        <f t="shared" si="0"/>
        <v>0</v>
      </c>
      <c r="S9" s="68">
        <f t="shared" si="0"/>
        <v>0</v>
      </c>
      <c r="T9" s="68">
        <f t="shared" si="0"/>
        <v>0</v>
      </c>
      <c r="U9" s="68">
        <f t="shared" si="0"/>
        <v>0</v>
      </c>
      <c r="V9" s="68">
        <f t="shared" si="0"/>
        <v>0</v>
      </c>
      <c r="W9" s="68">
        <f t="shared" si="0"/>
        <v>0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2594.8999999999996</v>
      </c>
      <c r="AG9" s="69">
        <f>AG10+AG15+AG24+AG33+AG47+AG52+AG54+AG61+AG62+AG71+AG72+AG76+AG88+AG81+AG83+AG82+AG69+AG89+AG91+AG90+AG70+AG40+AG92</f>
        <v>244175.59999999998</v>
      </c>
      <c r="AH9" s="41"/>
      <c r="AI9" s="41"/>
    </row>
    <row r="10" spans="1:33" ht="15">
      <c r="A10" s="4" t="s">
        <v>4</v>
      </c>
      <c r="B10" s="109">
        <v>18540</v>
      </c>
      <c r="C10" s="116">
        <v>3573.399999999998</v>
      </c>
      <c r="D10" s="67">
        <f>74.9+86.9</f>
        <v>161.8</v>
      </c>
      <c r="E10" s="67">
        <v>106.7</v>
      </c>
      <c r="F10" s="67"/>
      <c r="G10" s="67"/>
      <c r="H10" s="67"/>
      <c r="I10" s="67"/>
      <c r="J10" s="70"/>
      <c r="K10" s="67"/>
      <c r="L10" s="67"/>
      <c r="M10" s="67"/>
      <c r="N10" s="67"/>
      <c r="O10" s="71"/>
      <c r="P10" s="67"/>
      <c r="Q10" s="67"/>
      <c r="R10" s="67"/>
      <c r="S10" s="72"/>
      <c r="T10" s="72"/>
      <c r="U10" s="72"/>
      <c r="V10" s="72"/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268.5</v>
      </c>
      <c r="AG10" s="71">
        <f>B10+C10-AF10</f>
        <v>21844.899999999998</v>
      </c>
    </row>
    <row r="11" spans="1:33" ht="15">
      <c r="A11" s="3" t="s">
        <v>5</v>
      </c>
      <c r="B11" s="109">
        <v>17358.1</v>
      </c>
      <c r="C11" s="116">
        <v>2456.300000000003</v>
      </c>
      <c r="D11" s="67">
        <f>46.45+6.22</f>
        <v>52.67</v>
      </c>
      <c r="E11" s="67"/>
      <c r="F11" s="67"/>
      <c r="G11" s="67"/>
      <c r="H11" s="67"/>
      <c r="I11" s="67"/>
      <c r="J11" s="72"/>
      <c r="K11" s="67"/>
      <c r="L11" s="67"/>
      <c r="M11" s="67"/>
      <c r="N11" s="67"/>
      <c r="O11" s="71"/>
      <c r="P11" s="67"/>
      <c r="Q11" s="67"/>
      <c r="R11" s="67"/>
      <c r="S11" s="72"/>
      <c r="T11" s="72"/>
      <c r="U11" s="72"/>
      <c r="V11" s="72"/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52.67</v>
      </c>
      <c r="AG11" s="71">
        <f>B11+C11-AF11</f>
        <v>19761.730000000003</v>
      </c>
    </row>
    <row r="12" spans="1:33" ht="15">
      <c r="A12" s="3" t="s">
        <v>2</v>
      </c>
      <c r="B12" s="117">
        <f>370.8-0.3</f>
        <v>370.5</v>
      </c>
      <c r="C12" s="116">
        <v>406.0999999999999</v>
      </c>
      <c r="D12" s="67">
        <v>86.9</v>
      </c>
      <c r="E12" s="67">
        <v>53.1</v>
      </c>
      <c r="F12" s="67"/>
      <c r="G12" s="67"/>
      <c r="H12" s="67"/>
      <c r="I12" s="67"/>
      <c r="J12" s="72"/>
      <c r="K12" s="67"/>
      <c r="L12" s="67"/>
      <c r="M12" s="67"/>
      <c r="N12" s="67"/>
      <c r="O12" s="71"/>
      <c r="P12" s="67"/>
      <c r="Q12" s="67"/>
      <c r="R12" s="67"/>
      <c r="S12" s="72"/>
      <c r="T12" s="72"/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140</v>
      </c>
      <c r="AG12" s="71">
        <f>B12+C12-AF12</f>
        <v>636.5999999999999</v>
      </c>
    </row>
    <row r="13" spans="1:33" ht="15" hidden="1">
      <c r="A13" s="3" t="s">
        <v>16</v>
      </c>
      <c r="B13" s="109"/>
      <c r="C13" s="116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</row>
    <row r="14" spans="1:33" ht="15">
      <c r="A14" s="3" t="s">
        <v>23</v>
      </c>
      <c r="B14" s="109">
        <f aca="true" t="shared" si="2" ref="B14:Y14">B10-B11-B12-B13</f>
        <v>811.4000000000015</v>
      </c>
      <c r="C14" s="116">
        <f t="shared" si="2"/>
        <v>710.999999999995</v>
      </c>
      <c r="D14" s="67">
        <f t="shared" si="2"/>
        <v>22.230000000000004</v>
      </c>
      <c r="E14" s="67">
        <f t="shared" si="2"/>
        <v>53.6</v>
      </c>
      <c r="F14" s="67">
        <f t="shared" si="2"/>
        <v>0</v>
      </c>
      <c r="G14" s="67">
        <f t="shared" si="2"/>
        <v>0</v>
      </c>
      <c r="H14" s="67">
        <f t="shared" si="2"/>
        <v>0</v>
      </c>
      <c r="I14" s="67">
        <f t="shared" si="2"/>
        <v>0</v>
      </c>
      <c r="J14" s="67">
        <f t="shared" si="2"/>
        <v>0</v>
      </c>
      <c r="K14" s="67">
        <f t="shared" si="2"/>
        <v>0</v>
      </c>
      <c r="L14" s="67">
        <f t="shared" si="2"/>
        <v>0</v>
      </c>
      <c r="M14" s="67">
        <f t="shared" si="2"/>
        <v>0</v>
      </c>
      <c r="N14" s="67">
        <f t="shared" si="2"/>
        <v>0</v>
      </c>
      <c r="O14" s="67">
        <f t="shared" si="2"/>
        <v>0</v>
      </c>
      <c r="P14" s="67">
        <f t="shared" si="2"/>
        <v>0</v>
      </c>
      <c r="Q14" s="67">
        <f t="shared" si="2"/>
        <v>0</v>
      </c>
      <c r="R14" s="67">
        <f t="shared" si="2"/>
        <v>0</v>
      </c>
      <c r="S14" s="67">
        <f t="shared" si="2"/>
        <v>0</v>
      </c>
      <c r="T14" s="67">
        <f t="shared" si="2"/>
        <v>0</v>
      </c>
      <c r="U14" s="67">
        <f t="shared" si="2"/>
        <v>0</v>
      </c>
      <c r="V14" s="67">
        <f t="shared" si="2"/>
        <v>0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75.83000000000001</v>
      </c>
      <c r="AG14" s="71">
        <f>AG10-AG11-AG12-AG13</f>
        <v>1446.5699999999947</v>
      </c>
    </row>
    <row r="15" spans="1:35" ht="15" customHeight="1">
      <c r="A15" s="4" t="s">
        <v>6</v>
      </c>
      <c r="B15" s="109">
        <v>78671.2</v>
      </c>
      <c r="C15" s="116">
        <v>22513.800000000017</v>
      </c>
      <c r="D15" s="73"/>
      <c r="E15" s="73">
        <f>60.1+4.3</f>
        <v>64.4</v>
      </c>
      <c r="F15" s="67"/>
      <c r="G15" s="67"/>
      <c r="H15" s="67"/>
      <c r="I15" s="67"/>
      <c r="J15" s="72"/>
      <c r="K15" s="67"/>
      <c r="L15" s="67"/>
      <c r="M15" s="67"/>
      <c r="N15" s="67"/>
      <c r="O15" s="71"/>
      <c r="P15" s="67"/>
      <c r="Q15" s="71"/>
      <c r="R15" s="67"/>
      <c r="S15" s="72"/>
      <c r="T15" s="72"/>
      <c r="U15" s="72"/>
      <c r="V15" s="72"/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64.4</v>
      </c>
      <c r="AG15" s="71">
        <f aca="true" t="shared" si="3" ref="AG15:AG31">B15+C15-AF15</f>
        <v>101120.60000000002</v>
      </c>
      <c r="AI15" s="86"/>
    </row>
    <row r="16" spans="1:34" s="53" customFormat="1" ht="15" customHeight="1">
      <c r="A16" s="51" t="s">
        <v>38</v>
      </c>
      <c r="B16" s="122">
        <v>19179.6</v>
      </c>
      <c r="C16" s="123">
        <v>105.0999999999949</v>
      </c>
      <c r="D16" s="74"/>
      <c r="E16" s="74">
        <v>4.3</v>
      </c>
      <c r="F16" s="75"/>
      <c r="G16" s="75"/>
      <c r="H16" s="75"/>
      <c r="I16" s="75"/>
      <c r="J16" s="76"/>
      <c r="K16" s="75"/>
      <c r="L16" s="75"/>
      <c r="M16" s="75"/>
      <c r="N16" s="75"/>
      <c r="O16" s="77"/>
      <c r="P16" s="75"/>
      <c r="Q16" s="77"/>
      <c r="R16" s="75"/>
      <c r="S16" s="76"/>
      <c r="T16" s="76"/>
      <c r="U16" s="76"/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4.3</v>
      </c>
      <c r="AG16" s="78">
        <f t="shared" si="3"/>
        <v>19280.399999999994</v>
      </c>
      <c r="AH16" s="57"/>
    </row>
    <row r="17" spans="1:34" ht="15">
      <c r="A17" s="3" t="s">
        <v>5</v>
      </c>
      <c r="B17" s="109">
        <v>52609.7</v>
      </c>
      <c r="C17" s="116">
        <v>2351.800000000003</v>
      </c>
      <c r="D17" s="67"/>
      <c r="E17" s="67">
        <f>30.7+4.3</f>
        <v>35</v>
      </c>
      <c r="F17" s="67"/>
      <c r="G17" s="67"/>
      <c r="H17" s="67"/>
      <c r="I17" s="67"/>
      <c r="J17" s="72"/>
      <c r="K17" s="67"/>
      <c r="L17" s="67"/>
      <c r="M17" s="67"/>
      <c r="N17" s="67"/>
      <c r="O17" s="71"/>
      <c r="P17" s="67"/>
      <c r="Q17" s="71"/>
      <c r="R17" s="67"/>
      <c r="S17" s="72"/>
      <c r="T17" s="72"/>
      <c r="U17" s="72"/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35</v>
      </c>
      <c r="AG17" s="71">
        <f t="shared" si="3"/>
        <v>54926.5</v>
      </c>
      <c r="AH17" s="6"/>
    </row>
    <row r="18" spans="1:33" ht="15">
      <c r="A18" s="3" t="s">
        <v>3</v>
      </c>
      <c r="B18" s="109">
        <v>30.8</v>
      </c>
      <c r="C18" s="116">
        <v>0</v>
      </c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1">
        <f t="shared" si="3"/>
        <v>30.8</v>
      </c>
    </row>
    <row r="19" spans="1:33" ht="15">
      <c r="A19" s="3" t="s">
        <v>1</v>
      </c>
      <c r="B19" s="109">
        <v>5058</v>
      </c>
      <c r="C19" s="116">
        <v>5983.100000000001</v>
      </c>
      <c r="D19" s="67"/>
      <c r="E19" s="67"/>
      <c r="F19" s="67"/>
      <c r="G19" s="67"/>
      <c r="H19" s="67"/>
      <c r="I19" s="67"/>
      <c r="J19" s="72"/>
      <c r="K19" s="67"/>
      <c r="L19" s="67"/>
      <c r="M19" s="67"/>
      <c r="N19" s="67"/>
      <c r="O19" s="71"/>
      <c r="P19" s="67"/>
      <c r="Q19" s="71"/>
      <c r="R19" s="67"/>
      <c r="S19" s="72"/>
      <c r="T19" s="72"/>
      <c r="U19" s="72"/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0</v>
      </c>
      <c r="AG19" s="71">
        <f t="shared" si="3"/>
        <v>11041.100000000002</v>
      </c>
    </row>
    <row r="20" spans="1:33" ht="15">
      <c r="A20" s="3" t="s">
        <v>2</v>
      </c>
      <c r="B20" s="109">
        <v>17197.4</v>
      </c>
      <c r="C20" s="116">
        <v>13252.699999999997</v>
      </c>
      <c r="D20" s="67"/>
      <c r="E20" s="67"/>
      <c r="F20" s="67"/>
      <c r="G20" s="67"/>
      <c r="H20" s="67"/>
      <c r="I20" s="67"/>
      <c r="J20" s="72"/>
      <c r="K20" s="67"/>
      <c r="L20" s="67"/>
      <c r="M20" s="67"/>
      <c r="N20" s="67"/>
      <c r="O20" s="71"/>
      <c r="P20" s="67"/>
      <c r="Q20" s="71"/>
      <c r="R20" s="67"/>
      <c r="S20" s="72"/>
      <c r="T20" s="72"/>
      <c r="U20" s="72"/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0</v>
      </c>
      <c r="AG20" s="71">
        <f t="shared" si="3"/>
        <v>30450.1</v>
      </c>
    </row>
    <row r="21" spans="1:33" ht="15">
      <c r="A21" s="3" t="s">
        <v>16</v>
      </c>
      <c r="B21" s="109">
        <v>1078.4</v>
      </c>
      <c r="C21" s="116">
        <v>110.40000000000009</v>
      </c>
      <c r="D21" s="67"/>
      <c r="E21" s="67"/>
      <c r="F21" s="67"/>
      <c r="G21" s="67"/>
      <c r="H21" s="67"/>
      <c r="I21" s="67"/>
      <c r="J21" s="72"/>
      <c r="K21" s="67"/>
      <c r="L21" s="67"/>
      <c r="M21" s="67"/>
      <c r="N21" s="67"/>
      <c r="O21" s="71"/>
      <c r="P21" s="67"/>
      <c r="Q21" s="71"/>
      <c r="R21" s="67"/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0</v>
      </c>
      <c r="AG21" s="71">
        <f t="shared" si="3"/>
        <v>1188.8000000000002</v>
      </c>
    </row>
    <row r="22" spans="1:33" ht="15" hidden="1">
      <c r="A22" s="3" t="s">
        <v>15</v>
      </c>
      <c r="B22" s="119"/>
      <c r="C22" s="116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1">
        <f t="shared" si="3"/>
        <v>0</v>
      </c>
    </row>
    <row r="23" spans="1:33" ht="15">
      <c r="A23" s="3" t="s">
        <v>23</v>
      </c>
      <c r="B23" s="109">
        <f aca="true" t="shared" si="4" ref="B23:AD23">B15-B17-B18-B19-B20-B21-B22</f>
        <v>2696.899999999999</v>
      </c>
      <c r="C23" s="116">
        <f t="shared" si="4"/>
        <v>815.8000000000152</v>
      </c>
      <c r="D23" s="67">
        <f t="shared" si="4"/>
        <v>0</v>
      </c>
      <c r="E23" s="67">
        <f t="shared" si="4"/>
        <v>29.400000000000006</v>
      </c>
      <c r="F23" s="67">
        <f t="shared" si="4"/>
        <v>0</v>
      </c>
      <c r="G23" s="67">
        <f t="shared" si="4"/>
        <v>0</v>
      </c>
      <c r="H23" s="67">
        <f t="shared" si="4"/>
        <v>0</v>
      </c>
      <c r="I23" s="67">
        <f t="shared" si="4"/>
        <v>0</v>
      </c>
      <c r="J23" s="67">
        <f t="shared" si="4"/>
        <v>0</v>
      </c>
      <c r="K23" s="67">
        <f t="shared" si="4"/>
        <v>0</v>
      </c>
      <c r="L23" s="67">
        <f t="shared" si="4"/>
        <v>0</v>
      </c>
      <c r="M23" s="67">
        <f t="shared" si="4"/>
        <v>0</v>
      </c>
      <c r="N23" s="67">
        <f t="shared" si="4"/>
        <v>0</v>
      </c>
      <c r="O23" s="67">
        <f t="shared" si="4"/>
        <v>0</v>
      </c>
      <c r="P23" s="67">
        <f t="shared" si="4"/>
        <v>0</v>
      </c>
      <c r="Q23" s="67">
        <f t="shared" si="4"/>
        <v>0</v>
      </c>
      <c r="R23" s="67">
        <f t="shared" si="4"/>
        <v>0</v>
      </c>
      <c r="S23" s="67">
        <f t="shared" si="4"/>
        <v>0</v>
      </c>
      <c r="T23" s="67">
        <f t="shared" si="4"/>
        <v>0</v>
      </c>
      <c r="U23" s="67">
        <f t="shared" si="4"/>
        <v>0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29.400000000000006</v>
      </c>
      <c r="AG23" s="71">
        <f t="shared" si="3"/>
        <v>3483.3000000000143</v>
      </c>
    </row>
    <row r="24" spans="1:35" ht="15" customHeight="1">
      <c r="A24" s="4" t="s">
        <v>7</v>
      </c>
      <c r="B24" s="109">
        <v>39176.7</v>
      </c>
      <c r="C24" s="116">
        <v>6760.299999999996</v>
      </c>
      <c r="D24" s="67"/>
      <c r="E24" s="67"/>
      <c r="F24" s="67"/>
      <c r="G24" s="67"/>
      <c r="H24" s="67"/>
      <c r="I24" s="67"/>
      <c r="J24" s="72"/>
      <c r="K24" s="67"/>
      <c r="L24" s="67"/>
      <c r="M24" s="67"/>
      <c r="N24" s="67"/>
      <c r="O24" s="71"/>
      <c r="P24" s="67"/>
      <c r="Q24" s="71"/>
      <c r="R24" s="71"/>
      <c r="S24" s="72"/>
      <c r="T24" s="72"/>
      <c r="U24" s="72"/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0</v>
      </c>
      <c r="AG24" s="71">
        <f t="shared" si="3"/>
        <v>45936.99999999999</v>
      </c>
      <c r="AI24" s="86"/>
    </row>
    <row r="25" spans="1:34" s="53" customFormat="1" ht="15" customHeight="1">
      <c r="A25" s="51" t="s">
        <v>39</v>
      </c>
      <c r="B25" s="122">
        <v>22002.9</v>
      </c>
      <c r="C25" s="123">
        <v>2076.4000000000015</v>
      </c>
      <c r="D25" s="75"/>
      <c r="E25" s="75"/>
      <c r="F25" s="75"/>
      <c r="G25" s="75"/>
      <c r="H25" s="75"/>
      <c r="I25" s="75"/>
      <c r="J25" s="76"/>
      <c r="K25" s="75"/>
      <c r="L25" s="75"/>
      <c r="M25" s="75"/>
      <c r="N25" s="75"/>
      <c r="O25" s="77"/>
      <c r="P25" s="75"/>
      <c r="Q25" s="77"/>
      <c r="R25" s="77"/>
      <c r="S25" s="76"/>
      <c r="T25" s="76"/>
      <c r="U25" s="76"/>
      <c r="V25" s="76"/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0</v>
      </c>
      <c r="AG25" s="78">
        <f t="shared" si="3"/>
        <v>24079.300000000003</v>
      </c>
      <c r="AH25" s="57"/>
    </row>
    <row r="26" spans="1:34" ht="15" hidden="1">
      <c r="A26" s="3" t="s">
        <v>5</v>
      </c>
      <c r="B26" s="109"/>
      <c r="C26" s="116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1">
        <f t="shared" si="3"/>
        <v>0</v>
      </c>
      <c r="AH26" s="6"/>
    </row>
    <row r="27" spans="1:33" ht="15" hidden="1">
      <c r="A27" s="3" t="s">
        <v>3</v>
      </c>
      <c r="B27" s="109"/>
      <c r="C27" s="116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1">
        <f t="shared" si="3"/>
        <v>0</v>
      </c>
    </row>
    <row r="28" spans="1:33" ht="15" hidden="1">
      <c r="A28" s="3" t="s">
        <v>1</v>
      </c>
      <c r="B28" s="109"/>
      <c r="C28" s="116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1">
        <f t="shared" si="3"/>
        <v>0</v>
      </c>
    </row>
    <row r="29" spans="1:33" ht="15" hidden="1">
      <c r="A29" s="3" t="s">
        <v>2</v>
      </c>
      <c r="B29" s="109"/>
      <c r="C29" s="116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1">
        <f t="shared" si="3"/>
        <v>0</v>
      </c>
    </row>
    <row r="30" spans="1:33" ht="15" hidden="1">
      <c r="A30" s="3" t="s">
        <v>16</v>
      </c>
      <c r="B30" s="109"/>
      <c r="C30" s="116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1">
        <f t="shared" si="3"/>
        <v>0</v>
      </c>
    </row>
    <row r="31" spans="1:33" ht="15" hidden="1">
      <c r="A31" s="3" t="s">
        <v>15</v>
      </c>
      <c r="B31" s="109"/>
      <c r="C31" s="116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1">
        <f t="shared" si="3"/>
        <v>0</v>
      </c>
    </row>
    <row r="32" spans="1:33" ht="15">
      <c r="A32" s="3" t="s">
        <v>23</v>
      </c>
      <c r="B32" s="109">
        <f>B24</f>
        <v>39176.7</v>
      </c>
      <c r="C32" s="116">
        <f aca="true" t="shared" si="5" ref="C32:AD32">C24-C26-C27-C28-C29-C30-C31</f>
        <v>6760.299999999996</v>
      </c>
      <c r="D32" s="67">
        <f t="shared" si="5"/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67">
        <f t="shared" si="5"/>
        <v>0</v>
      </c>
      <c r="N32" s="67">
        <f t="shared" si="5"/>
        <v>0</v>
      </c>
      <c r="O32" s="67">
        <f t="shared" si="5"/>
        <v>0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0</v>
      </c>
      <c r="U32" s="67">
        <f t="shared" si="5"/>
        <v>0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0</v>
      </c>
      <c r="AG32" s="71">
        <f>AG24</f>
        <v>45936.99999999999</v>
      </c>
    </row>
    <row r="33" spans="1:33" ht="15" customHeight="1">
      <c r="A33" s="4" t="s">
        <v>8</v>
      </c>
      <c r="B33" s="109">
        <v>359.5</v>
      </c>
      <c r="C33" s="116">
        <v>40.39999999999998</v>
      </c>
      <c r="D33" s="67"/>
      <c r="E33" s="67"/>
      <c r="F33" s="67"/>
      <c r="G33" s="67"/>
      <c r="H33" s="67"/>
      <c r="I33" s="67"/>
      <c r="J33" s="72"/>
      <c r="K33" s="67"/>
      <c r="L33" s="67"/>
      <c r="M33" s="67"/>
      <c r="N33" s="67"/>
      <c r="O33" s="71"/>
      <c r="P33" s="67"/>
      <c r="Q33" s="71"/>
      <c r="R33" s="67"/>
      <c r="S33" s="72"/>
      <c r="T33" s="72"/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0</v>
      </c>
      <c r="AG33" s="71">
        <f aca="true" t="shared" si="6" ref="AG33:AG38">B33+C33-AF33</f>
        <v>399.9</v>
      </c>
    </row>
    <row r="34" spans="1:33" ht="15">
      <c r="A34" s="3" t="s">
        <v>5</v>
      </c>
      <c r="B34" s="109">
        <v>258.9</v>
      </c>
      <c r="C34" s="116">
        <v>11</v>
      </c>
      <c r="D34" s="67"/>
      <c r="E34" s="67"/>
      <c r="F34" s="67"/>
      <c r="G34" s="67"/>
      <c r="H34" s="67"/>
      <c r="I34" s="67"/>
      <c r="J34" s="72"/>
      <c r="K34" s="67"/>
      <c r="L34" s="67"/>
      <c r="M34" s="67"/>
      <c r="N34" s="67"/>
      <c r="O34" s="67"/>
      <c r="P34" s="67"/>
      <c r="Q34" s="71"/>
      <c r="R34" s="67"/>
      <c r="S34" s="72"/>
      <c r="T34" s="72"/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0</v>
      </c>
      <c r="AG34" s="71">
        <f t="shared" si="6"/>
        <v>269.9</v>
      </c>
    </row>
    <row r="35" spans="1:33" ht="15" hidden="1">
      <c r="A35" s="3" t="s">
        <v>1</v>
      </c>
      <c r="B35" s="109"/>
      <c r="C35" s="116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1">
        <f t="shared" si="6"/>
        <v>0</v>
      </c>
    </row>
    <row r="36" spans="1:33" ht="15">
      <c r="A36" s="3" t="s">
        <v>2</v>
      </c>
      <c r="B36" s="119">
        <v>66.8</v>
      </c>
      <c r="C36" s="116">
        <v>23</v>
      </c>
      <c r="D36" s="67"/>
      <c r="E36" s="67"/>
      <c r="F36" s="67"/>
      <c r="G36" s="67"/>
      <c r="H36" s="67"/>
      <c r="I36" s="67"/>
      <c r="J36" s="72"/>
      <c r="K36" s="67"/>
      <c r="L36" s="67"/>
      <c r="M36" s="67"/>
      <c r="N36" s="67"/>
      <c r="O36" s="71"/>
      <c r="P36" s="67"/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0</v>
      </c>
      <c r="AG36" s="71">
        <f t="shared" si="6"/>
        <v>89.8</v>
      </c>
    </row>
    <row r="37" spans="1:33" ht="15">
      <c r="A37" s="3" t="s">
        <v>16</v>
      </c>
      <c r="B37" s="109"/>
      <c r="C37" s="116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1">
        <f t="shared" si="6"/>
        <v>0</v>
      </c>
    </row>
    <row r="38" spans="1:33" ht="15" hidden="1">
      <c r="A38" s="3" t="s">
        <v>15</v>
      </c>
      <c r="B38" s="109"/>
      <c r="C38" s="116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1">
        <f t="shared" si="6"/>
        <v>0</v>
      </c>
    </row>
    <row r="39" spans="1:33" ht="15">
      <c r="A39" s="3" t="s">
        <v>23</v>
      </c>
      <c r="B39" s="109">
        <f aca="true" t="shared" si="7" ref="B39:AD39">B33-B34-B36-B38-B37-B35</f>
        <v>33.800000000000026</v>
      </c>
      <c r="C39" s="116">
        <f t="shared" si="7"/>
        <v>6.399999999999977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0</v>
      </c>
      <c r="AG39" s="71">
        <f>AG33-AG34-AG36-AG38-AG35-AG37</f>
        <v>40.2</v>
      </c>
    </row>
    <row r="40" spans="1:33" ht="15" customHeight="1">
      <c r="A40" s="4" t="s">
        <v>29</v>
      </c>
      <c r="B40" s="109">
        <v>1260.7</v>
      </c>
      <c r="C40" s="116">
        <v>171.5</v>
      </c>
      <c r="D40" s="67"/>
      <c r="E40" s="67"/>
      <c r="F40" s="67"/>
      <c r="G40" s="67"/>
      <c r="H40" s="67"/>
      <c r="I40" s="67"/>
      <c r="J40" s="72"/>
      <c r="K40" s="67"/>
      <c r="L40" s="67"/>
      <c r="M40" s="67"/>
      <c r="N40" s="67"/>
      <c r="O40" s="71"/>
      <c r="P40" s="67"/>
      <c r="Q40" s="71"/>
      <c r="R40" s="71"/>
      <c r="S40" s="72"/>
      <c r="T40" s="72"/>
      <c r="U40" s="72"/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0</v>
      </c>
      <c r="AG40" s="71">
        <f aca="true" t="shared" si="8" ref="AG40:AG45">B40+C40-AF40</f>
        <v>1432.2</v>
      </c>
    </row>
    <row r="41" spans="1:34" ht="15">
      <c r="A41" s="3" t="s">
        <v>5</v>
      </c>
      <c r="B41" s="109">
        <v>1049</v>
      </c>
      <c r="C41" s="116">
        <v>57.60000000000002</v>
      </c>
      <c r="D41" s="67"/>
      <c r="E41" s="67"/>
      <c r="F41" s="67"/>
      <c r="G41" s="67"/>
      <c r="H41" s="67"/>
      <c r="I41" s="67"/>
      <c r="J41" s="72"/>
      <c r="K41" s="67"/>
      <c r="L41" s="67"/>
      <c r="M41" s="67"/>
      <c r="N41" s="67"/>
      <c r="O41" s="71"/>
      <c r="P41" s="67"/>
      <c r="Q41" s="67"/>
      <c r="R41" s="67"/>
      <c r="S41" s="72"/>
      <c r="T41" s="72"/>
      <c r="U41" s="72"/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0</v>
      </c>
      <c r="AG41" s="71">
        <f t="shared" si="8"/>
        <v>1106.6</v>
      </c>
      <c r="AH41" s="6"/>
    </row>
    <row r="42" spans="1:33" ht="15">
      <c r="A42" s="3" t="s">
        <v>3</v>
      </c>
      <c r="B42" s="109">
        <v>0.8</v>
      </c>
      <c r="C42" s="116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1">
        <f t="shared" si="8"/>
        <v>0.8</v>
      </c>
    </row>
    <row r="43" spans="1:33" ht="15">
      <c r="A43" s="3" t="s">
        <v>1</v>
      </c>
      <c r="B43" s="109">
        <v>9.6</v>
      </c>
      <c r="C43" s="116">
        <v>4.3999999999999995</v>
      </c>
      <c r="D43" s="67"/>
      <c r="E43" s="67"/>
      <c r="F43" s="67"/>
      <c r="G43" s="67"/>
      <c r="H43" s="67"/>
      <c r="I43" s="67"/>
      <c r="J43" s="72"/>
      <c r="K43" s="67"/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0</v>
      </c>
      <c r="AG43" s="71">
        <f t="shared" si="8"/>
        <v>14</v>
      </c>
    </row>
    <row r="44" spans="1:33" ht="15">
      <c r="A44" s="3" t="s">
        <v>2</v>
      </c>
      <c r="B44" s="109">
        <v>171.6</v>
      </c>
      <c r="C44" s="116">
        <v>101.80000000000001</v>
      </c>
      <c r="D44" s="67"/>
      <c r="E44" s="67"/>
      <c r="F44" s="67"/>
      <c r="G44" s="67"/>
      <c r="H44" s="67"/>
      <c r="I44" s="67"/>
      <c r="J44" s="72"/>
      <c r="K44" s="67"/>
      <c r="L44" s="67"/>
      <c r="M44" s="67"/>
      <c r="N44" s="67"/>
      <c r="O44" s="71"/>
      <c r="P44" s="67"/>
      <c r="Q44" s="67"/>
      <c r="R44" s="67"/>
      <c r="S44" s="72"/>
      <c r="T44" s="72"/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0</v>
      </c>
      <c r="AG44" s="71">
        <f t="shared" si="8"/>
        <v>273.4</v>
      </c>
    </row>
    <row r="45" spans="1:33" ht="15" hidden="1">
      <c r="A45" s="3" t="s">
        <v>15</v>
      </c>
      <c r="B45" s="109"/>
      <c r="C45" s="116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1">
        <f t="shared" si="8"/>
        <v>0</v>
      </c>
    </row>
    <row r="46" spans="1:33" ht="15">
      <c r="A46" s="3" t="s">
        <v>23</v>
      </c>
      <c r="B46" s="109">
        <f aca="true" t="shared" si="9" ref="B46:AD46">B40-B41-B42-B43-B44-B45</f>
        <v>29.700000000000045</v>
      </c>
      <c r="C46" s="116">
        <f t="shared" si="9"/>
        <v>7.69999999999996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0</v>
      </c>
      <c r="AG46" s="71">
        <f>AG40-AG41-AG42-AG43-AG44-AG45</f>
        <v>37.40000000000015</v>
      </c>
    </row>
    <row r="47" spans="1:33" ht="17.25" customHeight="1">
      <c r="A47" s="4" t="s">
        <v>43</v>
      </c>
      <c r="B47" s="117">
        <v>1320.8</v>
      </c>
      <c r="C47" s="116">
        <v>818.8000000000001</v>
      </c>
      <c r="D47" s="67"/>
      <c r="E47" s="79"/>
      <c r="F47" s="79"/>
      <c r="G47" s="79"/>
      <c r="H47" s="79"/>
      <c r="I47" s="79"/>
      <c r="J47" s="80"/>
      <c r="K47" s="79"/>
      <c r="L47" s="79"/>
      <c r="M47" s="79"/>
      <c r="N47" s="79"/>
      <c r="O47" s="81"/>
      <c r="P47" s="79"/>
      <c r="Q47" s="79"/>
      <c r="R47" s="79"/>
      <c r="S47" s="80"/>
      <c r="T47" s="80"/>
      <c r="U47" s="79"/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0</v>
      </c>
      <c r="AG47" s="71">
        <f>B47+C47-AF47</f>
        <v>2139.6</v>
      </c>
    </row>
    <row r="48" spans="1:33" ht="15">
      <c r="A48" s="3" t="s">
        <v>5</v>
      </c>
      <c r="B48" s="109">
        <v>36.4</v>
      </c>
      <c r="C48" s="116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1">
        <f>B48+C48-AF48</f>
        <v>36.4</v>
      </c>
    </row>
    <row r="49" spans="1:33" ht="15">
      <c r="A49" s="3" t="s">
        <v>16</v>
      </c>
      <c r="B49" s="109">
        <v>1097.3</v>
      </c>
      <c r="C49" s="116">
        <v>697.4000000000001</v>
      </c>
      <c r="D49" s="67"/>
      <c r="E49" s="67"/>
      <c r="F49" s="67"/>
      <c r="G49" s="67"/>
      <c r="H49" s="67"/>
      <c r="I49" s="67"/>
      <c r="J49" s="72"/>
      <c r="K49" s="67"/>
      <c r="L49" s="67"/>
      <c r="M49" s="67"/>
      <c r="N49" s="67"/>
      <c r="O49" s="71"/>
      <c r="P49" s="67"/>
      <c r="Q49" s="67"/>
      <c r="R49" s="67"/>
      <c r="S49" s="72"/>
      <c r="T49" s="72"/>
      <c r="U49" s="67"/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0</v>
      </c>
      <c r="AG49" s="71">
        <f>B49+C49-AF49</f>
        <v>1794.7</v>
      </c>
    </row>
    <row r="50" spans="1:33" ht="28.5" hidden="1">
      <c r="A50" s="49" t="s">
        <v>34</v>
      </c>
      <c r="B50" s="109"/>
      <c r="C50" s="116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1">
        <f>B50+C50-AF50</f>
        <v>0</v>
      </c>
    </row>
    <row r="51" spans="1:33" ht="15">
      <c r="A51" s="48" t="s">
        <v>23</v>
      </c>
      <c r="B51" s="109">
        <f aca="true" t="shared" si="10" ref="B51:AD51">B47-B48-B49</f>
        <v>187.0999999999999</v>
      </c>
      <c r="C51" s="116">
        <f t="shared" si="10"/>
        <v>121.39999999999998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0</v>
      </c>
      <c r="AG51" s="71">
        <f>AG47-AG49-AG48</f>
        <v>308.4999999999999</v>
      </c>
    </row>
    <row r="52" spans="1:33" ht="15" customHeight="1">
      <c r="A52" s="4" t="s">
        <v>0</v>
      </c>
      <c r="B52" s="109">
        <v>4252.5</v>
      </c>
      <c r="C52" s="116">
        <v>3175.5</v>
      </c>
      <c r="D52" s="67"/>
      <c r="E52" s="67">
        <v>1248.7</v>
      </c>
      <c r="F52" s="67"/>
      <c r="G52" s="67"/>
      <c r="H52" s="67"/>
      <c r="I52" s="67"/>
      <c r="J52" s="72"/>
      <c r="K52" s="67"/>
      <c r="L52" s="67"/>
      <c r="M52" s="67"/>
      <c r="N52" s="67"/>
      <c r="O52" s="71"/>
      <c r="P52" s="67"/>
      <c r="Q52" s="67"/>
      <c r="R52" s="67"/>
      <c r="S52" s="72"/>
      <c r="T52" s="72"/>
      <c r="U52" s="72"/>
      <c r="V52" s="72"/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1248.7</v>
      </c>
      <c r="AG52" s="71">
        <f aca="true" t="shared" si="11" ref="AG52:AG59">B52+C52-AF52</f>
        <v>6179.3</v>
      </c>
    </row>
    <row r="53" spans="1:33" ht="15" customHeight="1">
      <c r="A53" s="3" t="s">
        <v>2</v>
      </c>
      <c r="B53" s="109">
        <v>1151.7</v>
      </c>
      <c r="C53" s="116">
        <v>1174.8000000000002</v>
      </c>
      <c r="D53" s="67"/>
      <c r="E53" s="67">
        <v>1026.4</v>
      </c>
      <c r="F53" s="67"/>
      <c r="G53" s="67"/>
      <c r="H53" s="67"/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/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1026.4</v>
      </c>
      <c r="AG53" s="71">
        <f t="shared" si="11"/>
        <v>1300.1</v>
      </c>
    </row>
    <row r="54" spans="1:34" ht="15" customHeight="1">
      <c r="A54" s="4" t="s">
        <v>9</v>
      </c>
      <c r="B54" s="119">
        <v>2427.4</v>
      </c>
      <c r="C54" s="116">
        <v>907.7000000000003</v>
      </c>
      <c r="D54" s="67"/>
      <c r="E54" s="67">
        <v>14.1</v>
      </c>
      <c r="F54" s="67"/>
      <c r="G54" s="67"/>
      <c r="H54" s="67"/>
      <c r="I54" s="67"/>
      <c r="J54" s="72"/>
      <c r="K54" s="67"/>
      <c r="L54" s="67"/>
      <c r="M54" s="67"/>
      <c r="N54" s="67"/>
      <c r="O54" s="71"/>
      <c r="P54" s="67"/>
      <c r="Q54" s="71"/>
      <c r="R54" s="67"/>
      <c r="S54" s="72"/>
      <c r="T54" s="72"/>
      <c r="U54" s="72"/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14.1</v>
      </c>
      <c r="AG54" s="67">
        <f t="shared" si="11"/>
        <v>3321.0000000000005</v>
      </c>
      <c r="AH54" s="6"/>
    </row>
    <row r="55" spans="1:34" ht="15">
      <c r="A55" s="3" t="s">
        <v>5</v>
      </c>
      <c r="B55" s="109">
        <v>1058</v>
      </c>
      <c r="C55" s="116">
        <v>134.29999999999995</v>
      </c>
      <c r="D55" s="67"/>
      <c r="E55" s="67"/>
      <c r="F55" s="67"/>
      <c r="G55" s="67"/>
      <c r="H55" s="67"/>
      <c r="I55" s="67"/>
      <c r="J55" s="72"/>
      <c r="K55" s="67"/>
      <c r="L55" s="67"/>
      <c r="M55" s="67"/>
      <c r="N55" s="67"/>
      <c r="O55" s="71"/>
      <c r="P55" s="67"/>
      <c r="Q55" s="71"/>
      <c r="R55" s="67"/>
      <c r="S55" s="72"/>
      <c r="T55" s="72"/>
      <c r="U55" s="72"/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0</v>
      </c>
      <c r="AG55" s="67">
        <f t="shared" si="11"/>
        <v>1192.3</v>
      </c>
      <c r="AH55" s="6"/>
    </row>
    <row r="56" spans="1:34" ht="15" customHeight="1" hidden="1">
      <c r="A56" s="3" t="s">
        <v>1</v>
      </c>
      <c r="B56" s="109"/>
      <c r="C56" s="116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67">
        <f t="shared" si="11"/>
        <v>0</v>
      </c>
      <c r="AH56" s="6"/>
    </row>
    <row r="57" spans="1:33" ht="15">
      <c r="A57" s="3" t="s">
        <v>2</v>
      </c>
      <c r="B57" s="117">
        <v>317.5</v>
      </c>
      <c r="C57" s="116">
        <v>231.1</v>
      </c>
      <c r="D57" s="67"/>
      <c r="E57" s="67">
        <v>12.9</v>
      </c>
      <c r="F57" s="67"/>
      <c r="G57" s="67"/>
      <c r="H57" s="67"/>
      <c r="I57" s="67"/>
      <c r="J57" s="72"/>
      <c r="K57" s="67"/>
      <c r="L57" s="67"/>
      <c r="M57" s="67"/>
      <c r="N57" s="67"/>
      <c r="O57" s="71"/>
      <c r="P57" s="67"/>
      <c r="Q57" s="71"/>
      <c r="R57" s="67"/>
      <c r="S57" s="72"/>
      <c r="T57" s="72"/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12.9</v>
      </c>
      <c r="AG57" s="67">
        <f t="shared" si="11"/>
        <v>535.7</v>
      </c>
    </row>
    <row r="58" spans="1:33" ht="15">
      <c r="A58" s="3" t="s">
        <v>16</v>
      </c>
      <c r="B58" s="117">
        <v>5.1</v>
      </c>
      <c r="C58" s="116">
        <v>0</v>
      </c>
      <c r="D58" s="67"/>
      <c r="E58" s="67"/>
      <c r="F58" s="67"/>
      <c r="G58" s="67"/>
      <c r="H58" s="67"/>
      <c r="I58" s="67"/>
      <c r="J58" s="72"/>
      <c r="K58" s="67"/>
      <c r="L58" s="67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67">
        <f t="shared" si="11"/>
        <v>5.1</v>
      </c>
    </row>
    <row r="59" spans="1:33" ht="15" hidden="1">
      <c r="A59" s="3" t="s">
        <v>15</v>
      </c>
      <c r="B59" s="109"/>
      <c r="C59" s="116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67">
        <f t="shared" si="11"/>
        <v>0</v>
      </c>
    </row>
    <row r="60" spans="1:33" ht="15">
      <c r="A60" s="3" t="s">
        <v>23</v>
      </c>
      <c r="B60" s="109">
        <f aca="true" t="shared" si="12" ref="B60:AD60">B54-B55-B57-B59-B56-B58</f>
        <v>1046.8000000000002</v>
      </c>
      <c r="C60" s="116">
        <f t="shared" si="12"/>
        <v>542.3000000000003</v>
      </c>
      <c r="D60" s="67">
        <f t="shared" si="12"/>
        <v>0</v>
      </c>
      <c r="E60" s="67">
        <f>E54-E55-E57-E59-E56-E58</f>
        <v>1.1999999999999993</v>
      </c>
      <c r="F60" s="67">
        <f t="shared" si="12"/>
        <v>0</v>
      </c>
      <c r="G60" s="67">
        <f t="shared" si="12"/>
        <v>0</v>
      </c>
      <c r="H60" s="67">
        <f t="shared" si="12"/>
        <v>0</v>
      </c>
      <c r="I60" s="67">
        <f t="shared" si="12"/>
        <v>0</v>
      </c>
      <c r="J60" s="67">
        <f t="shared" si="12"/>
        <v>0</v>
      </c>
      <c r="K60" s="67">
        <f t="shared" si="12"/>
        <v>0</v>
      </c>
      <c r="L60" s="67">
        <f t="shared" si="12"/>
        <v>0</v>
      </c>
      <c r="M60" s="67">
        <f t="shared" si="12"/>
        <v>0</v>
      </c>
      <c r="N60" s="67">
        <f t="shared" si="12"/>
        <v>0</v>
      </c>
      <c r="O60" s="67">
        <f t="shared" si="12"/>
        <v>0</v>
      </c>
      <c r="P60" s="67">
        <f t="shared" si="12"/>
        <v>0</v>
      </c>
      <c r="Q60" s="67">
        <f t="shared" si="12"/>
        <v>0</v>
      </c>
      <c r="R60" s="67">
        <f t="shared" si="12"/>
        <v>0</v>
      </c>
      <c r="S60" s="67">
        <f t="shared" si="12"/>
        <v>0</v>
      </c>
      <c r="T60" s="67">
        <f t="shared" si="12"/>
        <v>0</v>
      </c>
      <c r="U60" s="67">
        <f t="shared" si="12"/>
        <v>0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1.1999999999999993</v>
      </c>
      <c r="AG60" s="67">
        <f>AG54-AG55-AG57-AG59-AG56-AG58</f>
        <v>1587.9000000000008</v>
      </c>
    </row>
    <row r="61" spans="1:33" ht="15" customHeight="1">
      <c r="A61" s="4" t="s">
        <v>10</v>
      </c>
      <c r="B61" s="109">
        <v>426.5</v>
      </c>
      <c r="C61" s="116">
        <v>235.60000000000002</v>
      </c>
      <c r="D61" s="67"/>
      <c r="E61" s="67"/>
      <c r="F61" s="67"/>
      <c r="G61" s="67"/>
      <c r="H61" s="67"/>
      <c r="I61" s="67"/>
      <c r="J61" s="72"/>
      <c r="K61" s="67"/>
      <c r="L61" s="67"/>
      <c r="M61" s="67"/>
      <c r="N61" s="67"/>
      <c r="O61" s="71"/>
      <c r="P61" s="67"/>
      <c r="Q61" s="71"/>
      <c r="R61" s="67"/>
      <c r="S61" s="72"/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0</v>
      </c>
      <c r="AG61" s="67">
        <f aca="true" t="shared" si="14" ref="AG61:AG67">B61+C61-AF61</f>
        <v>662.1</v>
      </c>
    </row>
    <row r="62" spans="1:33" ht="15" customHeight="1">
      <c r="A62" s="4" t="s">
        <v>11</v>
      </c>
      <c r="B62" s="109">
        <v>3053.7</v>
      </c>
      <c r="C62" s="116">
        <v>605.5</v>
      </c>
      <c r="D62" s="67"/>
      <c r="E62" s="67">
        <v>1.3</v>
      </c>
      <c r="F62" s="67"/>
      <c r="G62" s="67"/>
      <c r="H62" s="67"/>
      <c r="I62" s="67"/>
      <c r="J62" s="72"/>
      <c r="K62" s="67"/>
      <c r="L62" s="67"/>
      <c r="M62" s="67"/>
      <c r="N62" s="67"/>
      <c r="O62" s="71"/>
      <c r="P62" s="67"/>
      <c r="Q62" s="71"/>
      <c r="R62" s="67"/>
      <c r="S62" s="72"/>
      <c r="T62" s="72"/>
      <c r="U62" s="72"/>
      <c r="V62" s="72"/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3"/>
        <v>1.3</v>
      </c>
      <c r="AG62" s="67">
        <f t="shared" si="14"/>
        <v>3657.8999999999996</v>
      </c>
    </row>
    <row r="63" spans="1:34" ht="15">
      <c r="A63" s="3" t="s">
        <v>5</v>
      </c>
      <c r="B63" s="109">
        <v>1563</v>
      </c>
      <c r="C63" s="116">
        <v>43.59999999999991</v>
      </c>
      <c r="D63" s="67"/>
      <c r="E63" s="67"/>
      <c r="F63" s="67"/>
      <c r="G63" s="67"/>
      <c r="H63" s="67"/>
      <c r="I63" s="67"/>
      <c r="J63" s="72"/>
      <c r="K63" s="67"/>
      <c r="L63" s="67"/>
      <c r="M63" s="67"/>
      <c r="N63" s="67"/>
      <c r="O63" s="71"/>
      <c r="P63" s="67"/>
      <c r="Q63" s="71"/>
      <c r="R63" s="67"/>
      <c r="S63" s="72"/>
      <c r="T63" s="72"/>
      <c r="U63" s="72"/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0</v>
      </c>
      <c r="AG63" s="67">
        <f t="shared" si="14"/>
        <v>1606.6</v>
      </c>
      <c r="AH63" s="131"/>
    </row>
    <row r="64" spans="1:34" ht="15" hidden="1">
      <c r="A64" s="3" t="s">
        <v>3</v>
      </c>
      <c r="B64" s="109"/>
      <c r="C64" s="116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67">
        <f t="shared" si="14"/>
        <v>0</v>
      </c>
      <c r="AH64" s="6"/>
    </row>
    <row r="65" spans="1:34" ht="15">
      <c r="A65" s="3" t="s">
        <v>1</v>
      </c>
      <c r="B65" s="109">
        <v>104.1</v>
      </c>
      <c r="C65" s="116">
        <v>37.1</v>
      </c>
      <c r="D65" s="67"/>
      <c r="E65" s="67"/>
      <c r="F65" s="67"/>
      <c r="G65" s="67"/>
      <c r="H65" s="67"/>
      <c r="I65" s="67"/>
      <c r="J65" s="72"/>
      <c r="K65" s="67"/>
      <c r="L65" s="67"/>
      <c r="M65" s="67"/>
      <c r="N65" s="67"/>
      <c r="O65" s="71"/>
      <c r="P65" s="67"/>
      <c r="Q65" s="71"/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0</v>
      </c>
      <c r="AG65" s="67">
        <f t="shared" si="14"/>
        <v>141.2</v>
      </c>
      <c r="AH65" s="6"/>
    </row>
    <row r="66" spans="1:33" ht="15">
      <c r="A66" s="3" t="s">
        <v>2</v>
      </c>
      <c r="B66" s="109">
        <v>166.4</v>
      </c>
      <c r="C66" s="116">
        <v>127.69999999999999</v>
      </c>
      <c r="D66" s="67"/>
      <c r="E66" s="67">
        <v>1.3</v>
      </c>
      <c r="F66" s="67"/>
      <c r="G66" s="67"/>
      <c r="H66" s="67"/>
      <c r="I66" s="67"/>
      <c r="J66" s="72"/>
      <c r="K66" s="67"/>
      <c r="L66" s="67"/>
      <c r="M66" s="67"/>
      <c r="N66" s="67"/>
      <c r="O66" s="71"/>
      <c r="P66" s="67"/>
      <c r="Q66" s="67"/>
      <c r="R66" s="67"/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1.3</v>
      </c>
      <c r="AG66" s="67">
        <f t="shared" si="14"/>
        <v>292.8</v>
      </c>
    </row>
    <row r="67" spans="1:33" ht="15">
      <c r="A67" s="3" t="s">
        <v>16</v>
      </c>
      <c r="B67" s="109">
        <v>110</v>
      </c>
      <c r="C67" s="116">
        <v>0</v>
      </c>
      <c r="D67" s="67"/>
      <c r="E67" s="67"/>
      <c r="F67" s="67"/>
      <c r="G67" s="67"/>
      <c r="H67" s="67"/>
      <c r="I67" s="67"/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0</v>
      </c>
      <c r="AG67" s="67">
        <f t="shared" si="14"/>
        <v>110</v>
      </c>
    </row>
    <row r="68" spans="1:33" ht="15">
      <c r="A68" s="3" t="s">
        <v>23</v>
      </c>
      <c r="B68" s="109">
        <f aca="true" t="shared" si="15" ref="B68:AD68">B62-B63-B66-B67-B65-B64</f>
        <v>1110.1999999999998</v>
      </c>
      <c r="C68" s="116">
        <f t="shared" si="15"/>
        <v>397.1000000000001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0</v>
      </c>
      <c r="H68" s="67">
        <f t="shared" si="15"/>
        <v>0</v>
      </c>
      <c r="I68" s="67">
        <f t="shared" si="15"/>
        <v>0</v>
      </c>
      <c r="J68" s="67">
        <f t="shared" si="15"/>
        <v>0</v>
      </c>
      <c r="K68" s="67">
        <f t="shared" si="15"/>
        <v>0</v>
      </c>
      <c r="L68" s="67">
        <f t="shared" si="15"/>
        <v>0</v>
      </c>
      <c r="M68" s="67">
        <f t="shared" si="15"/>
        <v>0</v>
      </c>
      <c r="N68" s="67">
        <f t="shared" si="15"/>
        <v>0</v>
      </c>
      <c r="O68" s="67">
        <f t="shared" si="15"/>
        <v>0</v>
      </c>
      <c r="P68" s="67">
        <f t="shared" si="15"/>
        <v>0</v>
      </c>
      <c r="Q68" s="67">
        <f t="shared" si="15"/>
        <v>0</v>
      </c>
      <c r="R68" s="67">
        <f t="shared" si="15"/>
        <v>0</v>
      </c>
      <c r="S68" s="67">
        <f t="shared" si="15"/>
        <v>0</v>
      </c>
      <c r="T68" s="67">
        <f t="shared" si="15"/>
        <v>0</v>
      </c>
      <c r="U68" s="67">
        <f t="shared" si="15"/>
        <v>0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0</v>
      </c>
      <c r="AG68" s="67">
        <f>AG62-AG63-AG66-AG67-AG65-AG64</f>
        <v>1507.2999999999997</v>
      </c>
    </row>
    <row r="69" spans="1:33" ht="30.75">
      <c r="A69" s="4" t="s">
        <v>45</v>
      </c>
      <c r="B69" s="109">
        <v>4420.3</v>
      </c>
      <c r="C69" s="116">
        <v>0</v>
      </c>
      <c r="D69" s="67"/>
      <c r="E69" s="67"/>
      <c r="F69" s="67"/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0</v>
      </c>
      <c r="AG69" s="82">
        <f aca="true" t="shared" si="16" ref="AG69:AG92">B69+C69-AF69</f>
        <v>4420.3</v>
      </c>
    </row>
    <row r="70" spans="1:33" ht="15" hidden="1">
      <c r="A70" s="4" t="s">
        <v>32</v>
      </c>
      <c r="B70" s="116"/>
      <c r="C70" s="116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2">
        <f t="shared" si="16"/>
        <v>0</v>
      </c>
    </row>
    <row r="71" spans="1:50" ht="30.75">
      <c r="A71" s="4" t="s">
        <v>46</v>
      </c>
      <c r="B71" s="116">
        <v>1800</v>
      </c>
      <c r="C71" s="132">
        <v>108.10000000000002</v>
      </c>
      <c r="D71" s="79"/>
      <c r="E71" s="79">
        <v>575.3</v>
      </c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575.3</v>
      </c>
      <c r="AG71" s="82">
        <f t="shared" si="16"/>
        <v>1332.8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133">
        <f>1401+35.1</f>
        <v>1436.1</v>
      </c>
      <c r="C72" s="116">
        <v>772.8999999999999</v>
      </c>
      <c r="D72" s="67"/>
      <c r="E72" s="67">
        <v>348.4</v>
      </c>
      <c r="F72" s="67"/>
      <c r="G72" s="67"/>
      <c r="H72" s="67"/>
      <c r="I72" s="67"/>
      <c r="J72" s="72"/>
      <c r="K72" s="67"/>
      <c r="L72" s="67"/>
      <c r="M72" s="67"/>
      <c r="N72" s="67"/>
      <c r="O72" s="67"/>
      <c r="P72" s="67"/>
      <c r="Q72" s="71"/>
      <c r="R72" s="67"/>
      <c r="S72" s="72"/>
      <c r="T72" s="72"/>
      <c r="U72" s="72"/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348.4</v>
      </c>
      <c r="AG72" s="82">
        <f t="shared" si="16"/>
        <v>1860.6</v>
      </c>
    </row>
    <row r="73" spans="1:33" ht="15" customHeight="1">
      <c r="A73" s="3" t="s">
        <v>5</v>
      </c>
      <c r="B73" s="116">
        <v>45.4</v>
      </c>
      <c r="C73" s="116">
        <v>0.10000000000000853</v>
      </c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0</v>
      </c>
      <c r="AG73" s="82">
        <f t="shared" si="16"/>
        <v>45.50000000000001</v>
      </c>
    </row>
    <row r="74" spans="1:33" ht="15" customHeight="1">
      <c r="A74" s="3" t="s">
        <v>2</v>
      </c>
      <c r="B74" s="116">
        <f>204.8+5.1+74.7</f>
        <v>284.6</v>
      </c>
      <c r="C74" s="116">
        <v>92.90000000000003</v>
      </c>
      <c r="D74" s="67"/>
      <c r="E74" s="67">
        <v>59.2</v>
      </c>
      <c r="F74" s="67"/>
      <c r="G74" s="67"/>
      <c r="H74" s="67"/>
      <c r="I74" s="67"/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59.2</v>
      </c>
      <c r="AG74" s="82">
        <f t="shared" si="16"/>
        <v>318.30000000000007</v>
      </c>
    </row>
    <row r="75" spans="1:33" ht="15" customHeight="1">
      <c r="A75" s="3" t="s">
        <v>16</v>
      </c>
      <c r="B75" s="116">
        <v>15.6</v>
      </c>
      <c r="C75" s="116">
        <v>7.1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82">
        <f t="shared" si="16"/>
        <v>22.7</v>
      </c>
    </row>
    <row r="76" spans="1:35" s="11" customFormat="1" ht="15">
      <c r="A76" s="12" t="s">
        <v>48</v>
      </c>
      <c r="B76" s="116">
        <v>586.1</v>
      </c>
      <c r="C76" s="116">
        <v>78.70000000000002</v>
      </c>
      <c r="D76" s="67"/>
      <c r="E76" s="79"/>
      <c r="F76" s="79"/>
      <c r="G76" s="79"/>
      <c r="H76" s="79"/>
      <c r="I76" s="79"/>
      <c r="J76" s="80"/>
      <c r="K76" s="79"/>
      <c r="L76" s="79"/>
      <c r="M76" s="79"/>
      <c r="N76" s="79"/>
      <c r="O76" s="79"/>
      <c r="P76" s="79"/>
      <c r="Q76" s="81"/>
      <c r="R76" s="79"/>
      <c r="S76" s="80"/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0</v>
      </c>
      <c r="AG76" s="82">
        <f t="shared" si="16"/>
        <v>664.8000000000001</v>
      </c>
      <c r="AI76" s="139"/>
    </row>
    <row r="77" spans="1:33" s="11" customFormat="1" ht="15">
      <c r="A77" s="3" t="s">
        <v>5</v>
      </c>
      <c r="B77" s="116">
        <f>95.5+21</f>
        <v>116.5</v>
      </c>
      <c r="C77" s="116">
        <v>22.89999999999999</v>
      </c>
      <c r="D77" s="67"/>
      <c r="E77" s="79"/>
      <c r="F77" s="79"/>
      <c r="G77" s="79"/>
      <c r="H77" s="79"/>
      <c r="I77" s="79"/>
      <c r="J77" s="80"/>
      <c r="K77" s="79"/>
      <c r="L77" s="79"/>
      <c r="M77" s="79"/>
      <c r="N77" s="79"/>
      <c r="O77" s="79"/>
      <c r="P77" s="79"/>
      <c r="Q77" s="81"/>
      <c r="R77" s="79"/>
      <c r="S77" s="80"/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0</v>
      </c>
      <c r="AG77" s="82">
        <f t="shared" si="16"/>
        <v>139.39999999999998</v>
      </c>
    </row>
    <row r="78" spans="1:33" s="11" customFormat="1" ht="15" hidden="1">
      <c r="A78" s="3" t="s">
        <v>3</v>
      </c>
      <c r="B78" s="116"/>
      <c r="C78" s="116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2">
        <f t="shared" si="16"/>
        <v>0</v>
      </c>
    </row>
    <row r="79" spans="1:33" s="11" customFormat="1" ht="15" hidden="1">
      <c r="A79" s="3" t="s">
        <v>1</v>
      </c>
      <c r="B79" s="116"/>
      <c r="C79" s="116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2">
        <f t="shared" si="16"/>
        <v>0</v>
      </c>
    </row>
    <row r="80" spans="1:33" s="11" customFormat="1" ht="15">
      <c r="A80" s="3" t="s">
        <v>2</v>
      </c>
      <c r="B80" s="116">
        <f>6.5</f>
        <v>6.5</v>
      </c>
      <c r="C80" s="116">
        <v>10.1</v>
      </c>
      <c r="D80" s="67"/>
      <c r="E80" s="79"/>
      <c r="F80" s="79"/>
      <c r="G80" s="79"/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0</v>
      </c>
      <c r="AG80" s="82">
        <f t="shared" si="16"/>
        <v>16.6</v>
      </c>
    </row>
    <row r="81" spans="1:33" s="11" customFormat="1" ht="15">
      <c r="A81" s="12" t="s">
        <v>49</v>
      </c>
      <c r="B81" s="116">
        <v>46.4</v>
      </c>
      <c r="C81" s="132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2">
        <f t="shared" si="16"/>
        <v>46.4</v>
      </c>
    </row>
    <row r="82" spans="1:33" s="11" customFormat="1" ht="15" hidden="1">
      <c r="A82" s="12" t="s">
        <v>41</v>
      </c>
      <c r="B82" s="116"/>
      <c r="C82" s="132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2">
        <f t="shared" si="16"/>
        <v>0</v>
      </c>
    </row>
    <row r="83" spans="1:33" s="11" customFormat="1" ht="15" hidden="1">
      <c r="A83" s="12" t="s">
        <v>40</v>
      </c>
      <c r="B83" s="132"/>
      <c r="C83" s="132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67">
        <f t="shared" si="16"/>
        <v>0</v>
      </c>
    </row>
    <row r="84" spans="1:33" s="11" customFormat="1" ht="15" hidden="1">
      <c r="A84" s="25" t="s">
        <v>21</v>
      </c>
      <c r="B84" s="116"/>
      <c r="C84" s="132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67">
        <f t="shared" si="16"/>
        <v>0</v>
      </c>
    </row>
    <row r="85" spans="1:33" s="11" customFormat="1" ht="15" hidden="1">
      <c r="A85" s="25" t="s">
        <v>22</v>
      </c>
      <c r="B85" s="116"/>
      <c r="C85" s="132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67">
        <f t="shared" si="16"/>
        <v>0</v>
      </c>
    </row>
    <row r="86" spans="1:33" s="11" customFormat="1" ht="30.75" hidden="1">
      <c r="A86" s="25" t="s">
        <v>24</v>
      </c>
      <c r="B86" s="116"/>
      <c r="C86" s="132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67">
        <f t="shared" si="16"/>
        <v>0</v>
      </c>
    </row>
    <row r="87" spans="1:33" s="11" customFormat="1" ht="30.75" hidden="1">
      <c r="A87" s="25" t="s">
        <v>28</v>
      </c>
      <c r="B87" s="116"/>
      <c r="C87" s="132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67">
        <f t="shared" si="16"/>
        <v>0</v>
      </c>
    </row>
    <row r="88" spans="1:34" ht="15" hidden="1">
      <c r="A88" s="4" t="s">
        <v>44</v>
      </c>
      <c r="B88" s="116"/>
      <c r="C88" s="116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67">
        <f t="shared" si="16"/>
        <v>0</v>
      </c>
      <c r="AH88" s="11"/>
    </row>
    <row r="89" spans="1:35" ht="15">
      <c r="A89" s="4" t="s">
        <v>50</v>
      </c>
      <c r="B89" s="116">
        <v>3366.5</v>
      </c>
      <c r="C89" s="116">
        <v>4751.200000000001</v>
      </c>
      <c r="D89" s="67"/>
      <c r="E89" s="67">
        <v>74.2</v>
      </c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72"/>
      <c r="T89" s="72"/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74.2</v>
      </c>
      <c r="AG89" s="67">
        <f t="shared" si="16"/>
        <v>8043.500000000001</v>
      </c>
      <c r="AH89" s="11"/>
      <c r="AI89" s="86"/>
    </row>
    <row r="90" spans="1:34" ht="15">
      <c r="A90" s="4" t="s">
        <v>51</v>
      </c>
      <c r="B90" s="116">
        <v>3519.4</v>
      </c>
      <c r="C90" s="116">
        <v>0</v>
      </c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0</v>
      </c>
      <c r="AG90" s="67">
        <f t="shared" si="16"/>
        <v>3519.4</v>
      </c>
      <c r="AH90" s="11"/>
    </row>
    <row r="91" spans="1:34" ht="15">
      <c r="A91" s="4" t="s">
        <v>25</v>
      </c>
      <c r="B91" s="116">
        <v>1416.7</v>
      </c>
      <c r="C91" s="116">
        <v>2833.4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67">
        <f t="shared" si="16"/>
        <v>4250.1</v>
      </c>
      <c r="AH91" s="11"/>
    </row>
    <row r="92" spans="1:34" ht="15">
      <c r="A92" s="4" t="s">
        <v>37</v>
      </c>
      <c r="B92" s="116">
        <v>33343.2</v>
      </c>
      <c r="C92" s="116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0</v>
      </c>
      <c r="AG92" s="67">
        <f t="shared" si="16"/>
        <v>33343.2</v>
      </c>
      <c r="AH92" s="58"/>
    </row>
    <row r="93" spans="1:33" ht="15">
      <c r="A93" s="7"/>
      <c r="B93" s="22"/>
      <c r="C93" s="116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">
      <c r="A94" s="7" t="s">
        <v>27</v>
      </c>
      <c r="B94" s="35">
        <f aca="true" t="shared" si="17" ref="B94:Y94">B10+B15+B24+B33+B47+B52+B54+B61+B62+B69+B71+B72+B76+B81+B82+B83+B88+B89+B90+B91+B40+B92+B70</f>
        <v>199423.7</v>
      </c>
      <c r="C94" s="134">
        <f t="shared" si="17"/>
        <v>47346.80000000001</v>
      </c>
      <c r="D94" s="83">
        <f t="shared" si="17"/>
        <v>161.8</v>
      </c>
      <c r="E94" s="83">
        <f t="shared" si="17"/>
        <v>2433.1</v>
      </c>
      <c r="F94" s="83">
        <f t="shared" si="17"/>
        <v>0</v>
      </c>
      <c r="G94" s="83">
        <f t="shared" si="17"/>
        <v>0</v>
      </c>
      <c r="H94" s="83">
        <f t="shared" si="17"/>
        <v>0</v>
      </c>
      <c r="I94" s="83">
        <f t="shared" si="17"/>
        <v>0</v>
      </c>
      <c r="J94" s="83">
        <f t="shared" si="17"/>
        <v>0</v>
      </c>
      <c r="K94" s="83">
        <f t="shared" si="17"/>
        <v>0</v>
      </c>
      <c r="L94" s="83">
        <f t="shared" si="17"/>
        <v>0</v>
      </c>
      <c r="M94" s="83">
        <f t="shared" si="17"/>
        <v>0</v>
      </c>
      <c r="N94" s="83">
        <f t="shared" si="17"/>
        <v>0</v>
      </c>
      <c r="O94" s="83">
        <f t="shared" si="17"/>
        <v>0</v>
      </c>
      <c r="P94" s="83">
        <f t="shared" si="17"/>
        <v>0</v>
      </c>
      <c r="Q94" s="83">
        <f t="shared" si="17"/>
        <v>0</v>
      </c>
      <c r="R94" s="83">
        <f t="shared" si="17"/>
        <v>0</v>
      </c>
      <c r="S94" s="83">
        <f t="shared" si="17"/>
        <v>0</v>
      </c>
      <c r="T94" s="83">
        <f t="shared" si="17"/>
        <v>0</v>
      </c>
      <c r="U94" s="83">
        <f t="shared" si="17"/>
        <v>0</v>
      </c>
      <c r="V94" s="83">
        <f t="shared" si="17"/>
        <v>0</v>
      </c>
      <c r="W94" s="83">
        <f t="shared" si="17"/>
        <v>0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2594.8999999999996</v>
      </c>
      <c r="AG94" s="84">
        <f>AG10+AG15+AG24+AG33+AG47+AG52+AG54+AG61+AG62+AG69+AG71+AG72+AG76+AG81+AG82+AG83+AG88+AG89+AG90+AG91+AG70+AG40+AG92</f>
        <v>244175.59999999998</v>
      </c>
    </row>
    <row r="95" spans="1:33" ht="15">
      <c r="A95" s="3" t="s">
        <v>5</v>
      </c>
      <c r="B95" s="22">
        <f>B11+B17+B26+B34+B55+B63+B73+B41+B77+B48</f>
        <v>74094.99999999997</v>
      </c>
      <c r="C95" s="116">
        <f aca="true" t="shared" si="18" ref="C95:AD95">C11+C17+C26+C34+C55+C63+C73+C41+C77+C48</f>
        <v>5077.600000000006</v>
      </c>
      <c r="D95" s="67">
        <f t="shared" si="18"/>
        <v>52.67</v>
      </c>
      <c r="E95" s="67">
        <f t="shared" si="18"/>
        <v>35</v>
      </c>
      <c r="F95" s="67">
        <f t="shared" si="18"/>
        <v>0</v>
      </c>
      <c r="G95" s="67">
        <f t="shared" si="18"/>
        <v>0</v>
      </c>
      <c r="H95" s="67">
        <f t="shared" si="18"/>
        <v>0</v>
      </c>
      <c r="I95" s="67">
        <f t="shared" si="18"/>
        <v>0</v>
      </c>
      <c r="J95" s="67">
        <f t="shared" si="18"/>
        <v>0</v>
      </c>
      <c r="K95" s="67">
        <f t="shared" si="18"/>
        <v>0</v>
      </c>
      <c r="L95" s="67">
        <f t="shared" si="18"/>
        <v>0</v>
      </c>
      <c r="M95" s="67">
        <f t="shared" si="18"/>
        <v>0</v>
      </c>
      <c r="N95" s="67">
        <f t="shared" si="18"/>
        <v>0</v>
      </c>
      <c r="O95" s="67">
        <f t="shared" si="18"/>
        <v>0</v>
      </c>
      <c r="P95" s="67">
        <f t="shared" si="18"/>
        <v>0</v>
      </c>
      <c r="Q95" s="67">
        <f t="shared" si="18"/>
        <v>0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87.67</v>
      </c>
      <c r="AG95" s="71">
        <f>B95+C95-AF95</f>
        <v>79084.92999999998</v>
      </c>
    </row>
    <row r="96" spans="1:33" ht="15">
      <c r="A96" s="3" t="s">
        <v>2</v>
      </c>
      <c r="B96" s="22">
        <f aca="true" t="shared" si="19" ref="B96:AD96">B12+B20+B29+B36+B57+B66+B44+B80+B74+B53</f>
        <v>19733</v>
      </c>
      <c r="C96" s="116">
        <f t="shared" si="19"/>
        <v>15420.199999999997</v>
      </c>
      <c r="D96" s="67">
        <f t="shared" si="19"/>
        <v>86.9</v>
      </c>
      <c r="E96" s="67">
        <f t="shared" si="19"/>
        <v>1152.9</v>
      </c>
      <c r="F96" s="67">
        <f t="shared" si="19"/>
        <v>0</v>
      </c>
      <c r="G96" s="67">
        <f t="shared" si="19"/>
        <v>0</v>
      </c>
      <c r="H96" s="67">
        <f t="shared" si="19"/>
        <v>0</v>
      </c>
      <c r="I96" s="67">
        <f t="shared" si="19"/>
        <v>0</v>
      </c>
      <c r="J96" s="67">
        <f t="shared" si="19"/>
        <v>0</v>
      </c>
      <c r="K96" s="67">
        <f t="shared" si="19"/>
        <v>0</v>
      </c>
      <c r="L96" s="67">
        <f t="shared" si="19"/>
        <v>0</v>
      </c>
      <c r="M96" s="67">
        <f t="shared" si="19"/>
        <v>0</v>
      </c>
      <c r="N96" s="67">
        <f t="shared" si="19"/>
        <v>0</v>
      </c>
      <c r="O96" s="67">
        <f t="shared" si="19"/>
        <v>0</v>
      </c>
      <c r="P96" s="67">
        <f t="shared" si="19"/>
        <v>0</v>
      </c>
      <c r="Q96" s="67">
        <f t="shared" si="19"/>
        <v>0</v>
      </c>
      <c r="R96" s="67">
        <f t="shared" si="19"/>
        <v>0</v>
      </c>
      <c r="S96" s="67">
        <f t="shared" si="19"/>
        <v>0</v>
      </c>
      <c r="T96" s="67">
        <f t="shared" si="19"/>
        <v>0</v>
      </c>
      <c r="U96" s="67">
        <f t="shared" si="19"/>
        <v>0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1239.8000000000002</v>
      </c>
      <c r="AG96" s="71">
        <f>B96+C96-AF96</f>
        <v>33913.399999999994</v>
      </c>
    </row>
    <row r="97" spans="1:33" ht="15">
      <c r="A97" s="3" t="s">
        <v>3</v>
      </c>
      <c r="B97" s="22">
        <f aca="true" t="shared" si="20" ref="B97:AA97">B18+B27+B42+B64+B78</f>
        <v>31.6</v>
      </c>
      <c r="C97" s="116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31.6</v>
      </c>
    </row>
    <row r="98" spans="1:33" ht="15">
      <c r="A98" s="3" t="s">
        <v>1</v>
      </c>
      <c r="B98" s="22">
        <f aca="true" t="shared" si="21" ref="B98:AD98">B19+B28+B65+B35+B43+B56+B79</f>
        <v>5171.700000000001</v>
      </c>
      <c r="C98" s="116">
        <f t="shared" si="21"/>
        <v>6024.600000000001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0</v>
      </c>
      <c r="H98" s="67">
        <f t="shared" si="21"/>
        <v>0</v>
      </c>
      <c r="I98" s="67">
        <f t="shared" si="21"/>
        <v>0</v>
      </c>
      <c r="J98" s="67">
        <f t="shared" si="21"/>
        <v>0</v>
      </c>
      <c r="K98" s="67">
        <f t="shared" si="21"/>
        <v>0</v>
      </c>
      <c r="L98" s="67">
        <f t="shared" si="21"/>
        <v>0</v>
      </c>
      <c r="M98" s="67">
        <f t="shared" si="21"/>
        <v>0</v>
      </c>
      <c r="N98" s="67">
        <f t="shared" si="21"/>
        <v>0</v>
      </c>
      <c r="O98" s="67">
        <f t="shared" si="21"/>
        <v>0</v>
      </c>
      <c r="P98" s="67">
        <f t="shared" si="21"/>
        <v>0</v>
      </c>
      <c r="Q98" s="67">
        <f t="shared" si="21"/>
        <v>0</v>
      </c>
      <c r="R98" s="67">
        <f t="shared" si="21"/>
        <v>0</v>
      </c>
      <c r="S98" s="67">
        <f t="shared" si="21"/>
        <v>0</v>
      </c>
      <c r="T98" s="67">
        <f t="shared" si="21"/>
        <v>0</v>
      </c>
      <c r="U98" s="67">
        <f t="shared" si="21"/>
        <v>0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0</v>
      </c>
      <c r="AG98" s="71">
        <f>B98+C98-AF98</f>
        <v>11196.300000000003</v>
      </c>
    </row>
    <row r="99" spans="1:33" ht="15">
      <c r="A99" s="3" t="s">
        <v>16</v>
      </c>
      <c r="B99" s="22">
        <f aca="true" t="shared" si="22" ref="B99:X99">B21+B30+B49+B37+B58+B13+B75+B67</f>
        <v>2306.3999999999996</v>
      </c>
      <c r="C99" s="116">
        <f t="shared" si="22"/>
        <v>814.9000000000002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0</v>
      </c>
      <c r="H99" s="67">
        <f t="shared" si="22"/>
        <v>0</v>
      </c>
      <c r="I99" s="67">
        <f t="shared" si="22"/>
        <v>0</v>
      </c>
      <c r="J99" s="67">
        <f t="shared" si="22"/>
        <v>0</v>
      </c>
      <c r="K99" s="67">
        <f t="shared" si="22"/>
        <v>0</v>
      </c>
      <c r="L99" s="67">
        <f t="shared" si="22"/>
        <v>0</v>
      </c>
      <c r="M99" s="67">
        <f t="shared" si="22"/>
        <v>0</v>
      </c>
      <c r="N99" s="67">
        <f t="shared" si="22"/>
        <v>0</v>
      </c>
      <c r="O99" s="67">
        <f t="shared" si="22"/>
        <v>0</v>
      </c>
      <c r="P99" s="67">
        <f t="shared" si="22"/>
        <v>0</v>
      </c>
      <c r="Q99" s="67">
        <f t="shared" si="22"/>
        <v>0</v>
      </c>
      <c r="R99" s="67">
        <f t="shared" si="22"/>
        <v>0</v>
      </c>
      <c r="S99" s="67">
        <f t="shared" si="22"/>
        <v>0</v>
      </c>
      <c r="T99" s="67">
        <f t="shared" si="22"/>
        <v>0</v>
      </c>
      <c r="U99" s="67">
        <f t="shared" si="22"/>
        <v>0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0</v>
      </c>
      <c r="AG99" s="71">
        <f>B99+C99-AF99</f>
        <v>3121.2999999999997</v>
      </c>
    </row>
    <row r="100" spans="1:33" ht="13.5">
      <c r="A100" s="1" t="s">
        <v>35</v>
      </c>
      <c r="B100" s="2">
        <f aca="true" t="shared" si="24" ref="B100:AD100">B94-B95-B96-B97-B98-B99</f>
        <v>98086.00000000004</v>
      </c>
      <c r="C100" s="135">
        <f t="shared" si="24"/>
        <v>20009.500000000004</v>
      </c>
      <c r="D100" s="85">
        <f t="shared" si="24"/>
        <v>22.230000000000004</v>
      </c>
      <c r="E100" s="85">
        <f t="shared" si="24"/>
        <v>1245.1999999999998</v>
      </c>
      <c r="F100" s="85">
        <f t="shared" si="24"/>
        <v>0</v>
      </c>
      <c r="G100" s="85">
        <f t="shared" si="24"/>
        <v>0</v>
      </c>
      <c r="H100" s="85">
        <f t="shared" si="24"/>
        <v>0</v>
      </c>
      <c r="I100" s="85">
        <f t="shared" si="24"/>
        <v>0</v>
      </c>
      <c r="J100" s="85">
        <f t="shared" si="24"/>
        <v>0</v>
      </c>
      <c r="K100" s="85">
        <f t="shared" si="24"/>
        <v>0</v>
      </c>
      <c r="L100" s="85">
        <f t="shared" si="24"/>
        <v>0</v>
      </c>
      <c r="M100" s="85">
        <f t="shared" si="24"/>
        <v>0</v>
      </c>
      <c r="N100" s="85">
        <f t="shared" si="24"/>
        <v>0</v>
      </c>
      <c r="O100" s="85">
        <f t="shared" si="24"/>
        <v>0</v>
      </c>
      <c r="P100" s="85">
        <f t="shared" si="24"/>
        <v>0</v>
      </c>
      <c r="Q100" s="85">
        <f t="shared" si="24"/>
        <v>0</v>
      </c>
      <c r="R100" s="85">
        <f t="shared" si="24"/>
        <v>0</v>
      </c>
      <c r="S100" s="85">
        <f t="shared" si="24"/>
        <v>0</v>
      </c>
      <c r="T100" s="85">
        <f t="shared" si="24"/>
        <v>0</v>
      </c>
      <c r="U100" s="85">
        <f t="shared" si="24"/>
        <v>0</v>
      </c>
      <c r="V100" s="85">
        <f t="shared" si="24"/>
        <v>0</v>
      </c>
      <c r="W100" s="85">
        <f t="shared" si="24"/>
        <v>0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1267.4299999999994</v>
      </c>
      <c r="AG100" s="85">
        <f>AG94-AG95-AG96-AG97-AG98-AG99</f>
        <v>116828.06999999998</v>
      </c>
    </row>
    <row r="101" spans="1:33" s="32" customFormat="1" ht="15">
      <c r="A101" s="30"/>
      <c r="B101" s="31"/>
      <c r="C101" s="136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37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138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3.5">
      <c r="A104" s="1"/>
      <c r="B104" s="2"/>
      <c r="C104" s="135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135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110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110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110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110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110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110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110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110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110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110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110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110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110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110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110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110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110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110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110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110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110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110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110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110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110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110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110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110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110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110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110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110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110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4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</cp:lastModifiedBy>
  <cp:lastPrinted>2018-02-28T14:18:35Z</cp:lastPrinted>
  <dcterms:created xsi:type="dcterms:W3CDTF">2002-11-05T08:53:00Z</dcterms:created>
  <dcterms:modified xsi:type="dcterms:W3CDTF">2018-03-03T11:14:37Z</dcterms:modified>
  <cp:category/>
  <cp:version/>
  <cp:contentType/>
  <cp:contentStatus/>
</cp:coreProperties>
</file>